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240" yWindow="255" windowWidth="19440" windowHeight="9660" tabRatio="675" activeTab="3"/>
  </bookViews>
  <sheets>
    <sheet name="Anexo III" sheetId="18" r:id="rId1"/>
    <sheet name="Anexo IV" sheetId="19" r:id="rId2"/>
    <sheet name="Anexo V " sheetId="17" r:id="rId3"/>
    <sheet name="Anexo VI" sheetId="20" r:id="rId4"/>
  </sheets>
  <definedNames>
    <definedName name="_xlnm.Print_Area" localSheetId="1">'Anexo IV'!$A$1:$E$218</definedName>
    <definedName name="_xlnm.Print_Titles" localSheetId="0">'Anexo III'!$1:$11</definedName>
    <definedName name="_xlnm.Print_Titles" localSheetId="1">'Anexo IV'!$1:$9</definedName>
  </definedNames>
  <calcPr calcId="144525"/>
</workbook>
</file>

<file path=xl/calcChain.xml><?xml version="1.0" encoding="utf-8"?>
<calcChain xmlns="http://schemas.openxmlformats.org/spreadsheetml/2006/main">
  <c r="G78" i="18" l="1"/>
  <c r="G77" i="18" s="1"/>
  <c r="G76" i="18"/>
  <c r="G75" i="18"/>
  <c r="G74" i="18"/>
  <c r="G73" i="18"/>
  <c r="G71" i="18"/>
  <c r="G70" i="18"/>
  <c r="G69" i="18"/>
  <c r="G67" i="18"/>
  <c r="G66" i="18" s="1"/>
  <c r="G58" i="18"/>
  <c r="G57" i="18"/>
  <c r="G54" i="18"/>
  <c r="G53" i="18"/>
  <c r="G52" i="18"/>
  <c r="G51" i="18"/>
  <c r="G39" i="18"/>
  <c r="G38" i="18"/>
  <c r="G37" i="18"/>
  <c r="G36" i="18"/>
  <c r="G34" i="18"/>
  <c r="G33" i="18"/>
  <c r="G30" i="18"/>
  <c r="G22" i="18"/>
  <c r="G19" i="18"/>
  <c r="G17" i="18"/>
  <c r="G16" i="18"/>
  <c r="G15" i="18"/>
  <c r="G14" i="18"/>
  <c r="G13" i="18"/>
  <c r="D190" i="19"/>
  <c r="D186" i="19"/>
  <c r="D185" i="19"/>
  <c r="D175" i="19"/>
  <c r="D174" i="19"/>
  <c r="D173" i="19"/>
  <c r="D168" i="19"/>
  <c r="D167" i="19"/>
  <c r="D166" i="19"/>
  <c r="D169" i="19"/>
  <c r="D170" i="19"/>
  <c r="D161" i="19"/>
  <c r="D160" i="19"/>
  <c r="D153" i="19"/>
  <c r="D152" i="19"/>
  <c r="D151" i="19"/>
  <c r="D150" i="19"/>
  <c r="E146" i="19"/>
  <c r="E140" i="19"/>
  <c r="D157" i="19" s="1"/>
  <c r="E137" i="19"/>
  <c r="E143" i="19" s="1"/>
  <c r="E125" i="19"/>
  <c r="E122" i="19"/>
  <c r="E119" i="19"/>
  <c r="E116" i="19"/>
  <c r="D108" i="19"/>
  <c r="D109" i="19"/>
  <c r="D111" i="19"/>
  <c r="D110" i="19"/>
  <c r="E95" i="19"/>
  <c r="D156" i="19" s="1"/>
  <c r="E92" i="19"/>
  <c r="D155" i="19" s="1"/>
  <c r="E89" i="19"/>
  <c r="D154" i="19" s="1"/>
  <c r="E165" i="19" l="1"/>
  <c r="D163" i="19"/>
  <c r="D176" i="19"/>
  <c r="E188" i="19"/>
  <c r="D216" i="19" s="1"/>
  <c r="E184" i="19"/>
  <c r="D215" i="19" s="1"/>
  <c r="D162" i="19"/>
  <c r="E149" i="19"/>
  <c r="D217" i="19" s="1"/>
  <c r="E98" i="19"/>
  <c r="E101" i="19" s="1"/>
  <c r="E113" i="19"/>
  <c r="D66" i="19"/>
  <c r="E28" i="18"/>
  <c r="G28" i="18" s="1"/>
  <c r="E59" i="19"/>
  <c r="E44" i="19"/>
  <c r="E41" i="19"/>
  <c r="E38" i="19"/>
  <c r="E26" i="19"/>
  <c r="E17" i="19"/>
  <c r="E14" i="19"/>
  <c r="E11" i="19"/>
  <c r="E68" i="19" l="1"/>
  <c r="E192" i="19"/>
  <c r="D64" i="19"/>
  <c r="E62" i="19" s="1"/>
  <c r="E104" i="19"/>
  <c r="E31" i="18"/>
  <c r="G31" i="18" s="1"/>
  <c r="H30" i="17"/>
  <c r="H23" i="17"/>
  <c r="H19" i="17"/>
  <c r="H15" i="17"/>
  <c r="H43" i="17" s="1"/>
  <c r="E72" i="18"/>
  <c r="G72" i="18" s="1"/>
  <c r="G68" i="18" s="1"/>
  <c r="E49" i="18"/>
  <c r="E48" i="18"/>
  <c r="G48" i="18" s="1"/>
  <c r="E29" i="18"/>
  <c r="E21" i="18"/>
  <c r="G21" i="18" s="1"/>
  <c r="E53" i="19" l="1"/>
  <c r="D212" i="19"/>
  <c r="E32" i="18"/>
  <c r="G32" i="18" s="1"/>
  <c r="G29" i="18"/>
  <c r="E50" i="18"/>
  <c r="G50" i="18" s="1"/>
  <c r="G49" i="18"/>
  <c r="E24" i="18"/>
  <c r="G24" i="18" s="1"/>
  <c r="E25" i="18"/>
  <c r="G25" i="18" s="1"/>
  <c r="E55" i="18"/>
  <c r="G55" i="18" s="1"/>
  <c r="G47" i="18" s="1"/>
  <c r="E20" i="18"/>
  <c r="G20" i="18" s="1"/>
  <c r="E27" i="18"/>
  <c r="G27" i="18" s="1"/>
  <c r="E61" i="18"/>
  <c r="G61" i="18" s="1"/>
  <c r="E64" i="18"/>
  <c r="G64" i="18" s="1"/>
  <c r="E46" i="18"/>
  <c r="G46" i="18" s="1"/>
  <c r="E65" i="18"/>
  <c r="G65" i="18" s="1"/>
  <c r="E42" i="18"/>
  <c r="G42" i="18" s="1"/>
  <c r="E41" i="18"/>
  <c r="G41" i="18" s="1"/>
  <c r="E40" i="18"/>
  <c r="G40" i="18" s="1"/>
  <c r="A14" i="18"/>
  <c r="A15" i="18" s="1"/>
  <c r="A16" i="18" s="1"/>
  <c r="A17" i="18" s="1"/>
  <c r="A18" i="18" s="1"/>
  <c r="A19" i="18" s="1"/>
  <c r="A20" i="18" s="1"/>
  <c r="A21" i="18" s="1"/>
  <c r="A22" i="18" s="1"/>
  <c r="A24" i="18" s="1"/>
  <c r="A25" i="18" s="1"/>
  <c r="A26" i="18" s="1"/>
  <c r="A27" i="18" s="1"/>
  <c r="A28" i="18" s="1"/>
  <c r="A29" i="18" s="1"/>
  <c r="A30" i="18" s="1"/>
  <c r="A31" i="18" s="1"/>
  <c r="A32" i="18" s="1"/>
  <c r="A33" i="18" s="1"/>
  <c r="A34" i="18" s="1"/>
  <c r="A36" i="18" s="1"/>
  <c r="A37" i="18" s="1"/>
  <c r="A38" i="18" s="1"/>
  <c r="A39" i="18" s="1"/>
  <c r="A40" i="18" s="1"/>
  <c r="A41" i="18" s="1"/>
  <c r="A42" i="18" s="1"/>
  <c r="A43" i="18" s="1"/>
  <c r="A44" i="18" s="1"/>
  <c r="A45" i="18" s="1"/>
  <c r="A46" i="18" s="1"/>
  <c r="A48" i="18" s="1"/>
  <c r="A49" i="18" s="1"/>
  <c r="A50" i="18" s="1"/>
  <c r="A51" i="18" s="1"/>
  <c r="A52" i="18" s="1"/>
  <c r="A53" i="18" s="1"/>
  <c r="A54" i="18" s="1"/>
  <c r="A55" i="18" s="1"/>
  <c r="A57" i="18" s="1"/>
  <c r="A58" i="18" s="1"/>
  <c r="A59" i="18" s="1"/>
  <c r="A61" i="18" s="1"/>
  <c r="A62" i="18" s="1"/>
  <c r="A63" i="18" s="1"/>
  <c r="A64" i="18" s="1"/>
  <c r="A65" i="18" s="1"/>
  <c r="A67" i="18" s="1"/>
  <c r="A69" i="18" s="1"/>
  <c r="A70" i="18" s="1"/>
  <c r="A71" i="18" s="1"/>
  <c r="A72" i="18" s="1"/>
  <c r="A73" i="18" s="1"/>
  <c r="A74" i="18" s="1"/>
  <c r="A75" i="18" s="1"/>
  <c r="A76" i="18" s="1"/>
  <c r="A78" i="18" s="1"/>
  <c r="A80" i="18" s="1"/>
  <c r="A81" i="18" s="1"/>
  <c r="E59" i="18"/>
  <c r="G59" i="18" s="1"/>
  <c r="G56" i="18" s="1"/>
  <c r="E18" i="18"/>
  <c r="G18" i="18" s="1"/>
  <c r="G12" i="18" s="1"/>
  <c r="E26" i="18" l="1"/>
  <c r="G26" i="18" s="1"/>
  <c r="G23" i="18" s="1"/>
  <c r="E43" i="18"/>
  <c r="G43" i="18" s="1"/>
  <c r="E62" i="18"/>
  <c r="G62" i="18" s="1"/>
  <c r="E45" i="18"/>
  <c r="G45" i="18" s="1"/>
  <c r="E44" i="18"/>
  <c r="G44" i="18" s="1"/>
  <c r="E63" i="18"/>
  <c r="G63" i="18" s="1"/>
  <c r="G60" i="18" l="1"/>
  <c r="G35" i="18"/>
  <c r="E81" i="18"/>
  <c r="E80" i="18" l="1"/>
  <c r="G80" i="18" s="1"/>
  <c r="G81" i="18"/>
  <c r="H15" i="20"/>
  <c r="H16" i="20" s="1"/>
  <c r="H17" i="20" s="1"/>
  <c r="H18" i="20" s="1"/>
  <c r="H19" i="20" s="1"/>
  <c r="H20" i="20" s="1"/>
  <c r="H21" i="20" s="1"/>
  <c r="H22" i="20" s="1"/>
  <c r="H23" i="20" s="1"/>
  <c r="J15" i="20"/>
  <c r="J16" i="20" s="1"/>
  <c r="J17" i="20" s="1"/>
  <c r="J18" i="20" s="1"/>
  <c r="J19" i="20" s="1"/>
  <c r="J20" i="20" s="1"/>
  <c r="J21" i="20" s="1"/>
  <c r="J22" i="20" s="1"/>
  <c r="J23" i="20" s="1"/>
  <c r="J24" i="20" s="1"/>
  <c r="J25" i="20" s="1"/>
  <c r="J26" i="20" s="1"/>
  <c r="B16" i="20"/>
  <c r="B17" i="20" s="1"/>
  <c r="B18" i="20" s="1"/>
  <c r="B19" i="20" s="1"/>
  <c r="B20" i="20" s="1"/>
  <c r="B21" i="20" s="1"/>
  <c r="B22" i="20" s="1"/>
  <c r="B23" i="20" s="1"/>
  <c r="B24" i="20" s="1"/>
  <c r="B25" i="20" s="1"/>
  <c r="B26" i="20" s="1"/>
  <c r="G79" i="18" l="1"/>
  <c r="G82" i="18" s="1"/>
  <c r="H24" i="20"/>
  <c r="H25" i="20" s="1"/>
  <c r="H26" i="20" s="1"/>
  <c r="G192" i="19"/>
  <c r="G184" i="19"/>
  <c r="C182" i="19"/>
  <c r="G181" i="19"/>
  <c r="G178" i="19"/>
  <c r="G165" i="19"/>
  <c r="G146" i="19"/>
  <c r="G143" i="19"/>
  <c r="G140" i="19"/>
  <c r="G137" i="19"/>
  <c r="G125" i="19"/>
  <c r="G122" i="19"/>
  <c r="G119" i="19"/>
  <c r="G113" i="19"/>
  <c r="G71" i="19"/>
  <c r="G59" i="19"/>
  <c r="G56" i="19"/>
  <c r="G47" i="19"/>
  <c r="G44" i="19"/>
  <c r="G41" i="19"/>
  <c r="G38" i="19"/>
  <c r="G17" i="19"/>
  <c r="G14" i="19"/>
  <c r="G11" i="19"/>
  <c r="A11" i="19"/>
  <c r="A14" i="19" s="1"/>
  <c r="A17" i="19" l="1"/>
  <c r="A20" i="19" s="1"/>
  <c r="A23" i="19" s="1"/>
  <c r="A26" i="19" s="1"/>
  <c r="A29" i="19" s="1"/>
  <c r="A32" i="19" s="1"/>
  <c r="A35" i="19" s="1"/>
  <c r="A38" i="19" s="1"/>
  <c r="A41" i="19" s="1"/>
  <c r="A44" i="19" s="1"/>
  <c r="A47" i="19" s="1"/>
  <c r="H73" i="18"/>
  <c r="H28" i="18"/>
  <c r="H15" i="18"/>
  <c r="H29" i="18"/>
  <c r="H16" i="18"/>
  <c r="H32" i="18"/>
  <c r="H74" i="18"/>
  <c r="H13" i="18"/>
  <c r="H21" i="18"/>
  <c r="H31" i="18"/>
  <c r="H34" i="18"/>
  <c r="H76" i="18"/>
  <c r="H57" i="18"/>
  <c r="H75" i="18"/>
  <c r="H51" i="18"/>
  <c r="H71" i="18"/>
  <c r="H53" i="18"/>
  <c r="H52" i="18"/>
  <c r="H49" i="18"/>
  <c r="H78" i="18"/>
  <c r="H33" i="18"/>
  <c r="H36" i="18"/>
  <c r="H19" i="18"/>
  <c r="H39" i="18"/>
  <c r="H24" i="18"/>
  <c r="H17" i="18"/>
  <c r="H37" i="18"/>
  <c r="H14" i="18"/>
  <c r="H22" i="18"/>
  <c r="H30" i="18"/>
  <c r="H38" i="18"/>
  <c r="G84" i="18"/>
  <c r="H54" i="18"/>
  <c r="H67" i="18"/>
  <c r="H48" i="18"/>
  <c r="H58" i="18"/>
  <c r="H72" i="18"/>
  <c r="H70" i="18"/>
  <c r="H50" i="18"/>
  <c r="H69" i="18"/>
  <c r="H42" i="18"/>
  <c r="H40" i="18"/>
  <c r="H61" i="18"/>
  <c r="H41" i="18"/>
  <c r="H64" i="18"/>
  <c r="H55" i="18"/>
  <c r="H18" i="18"/>
  <c r="H25" i="18"/>
  <c r="H46" i="18"/>
  <c r="H20" i="18"/>
  <c r="H65" i="18"/>
  <c r="H27" i="18"/>
  <c r="H59" i="18"/>
  <c r="H63" i="18"/>
  <c r="H43" i="18"/>
  <c r="H62" i="18"/>
  <c r="H26" i="18"/>
  <c r="H44" i="18"/>
  <c r="H45" i="18"/>
  <c r="H80" i="18"/>
  <c r="H81" i="18"/>
  <c r="E214" i="19"/>
  <c r="D211" i="19" s="1"/>
  <c r="G62" i="19"/>
  <c r="G53" i="19"/>
  <c r="G116" i="19"/>
  <c r="G188" i="19"/>
  <c r="A50" i="19" l="1"/>
  <c r="A53" i="19" s="1"/>
  <c r="A56" i="19" s="1"/>
  <c r="A59" i="19" s="1"/>
  <c r="A62" i="19" s="1"/>
  <c r="A68" i="19" s="1"/>
  <c r="A71" i="19" s="1"/>
  <c r="A74" i="19" s="1"/>
  <c r="A77" i="19" s="1"/>
  <c r="A80" i="19" s="1"/>
  <c r="A83" i="19" s="1"/>
  <c r="A86" i="19" s="1"/>
  <c r="A89" i="19" s="1"/>
  <c r="A92" i="19" s="1"/>
  <c r="A95" i="19" s="1"/>
  <c r="A98" i="19" s="1"/>
  <c r="A101" i="19" s="1"/>
  <c r="A104" i="19" s="1"/>
  <c r="A107" i="19" s="1"/>
  <c r="A113" i="19" s="1"/>
  <c r="A116" i="19" s="1"/>
  <c r="A119" i="19" s="1"/>
  <c r="A122" i="19" s="1"/>
  <c r="A125" i="19" s="1"/>
  <c r="A128" i="19" s="1"/>
  <c r="A131" i="19" s="1"/>
  <c r="A134" i="19" s="1"/>
  <c r="A137" i="19" s="1"/>
  <c r="A140" i="19" s="1"/>
  <c r="A143" i="19" s="1"/>
  <c r="A146" i="19" s="1"/>
  <c r="A149" i="19" s="1"/>
  <c r="A159" i="19" s="1"/>
  <c r="A165" i="19" s="1"/>
  <c r="A172" i="19" s="1"/>
  <c r="A178" i="19" s="1"/>
  <c r="A181" i="19" s="1"/>
  <c r="A184" i="19" s="1"/>
  <c r="A188" i="19" s="1"/>
  <c r="A192" i="19" s="1"/>
  <c r="A195" i="19" s="1"/>
  <c r="A198" i="19" s="1"/>
  <c r="A201" i="19" s="1"/>
  <c r="A204" i="19" s="1"/>
  <c r="A207" i="19" s="1"/>
  <c r="A210" i="19" s="1"/>
  <c r="A214" i="19" s="1"/>
  <c r="G214" i="19"/>
  <c r="E210" i="19"/>
  <c r="G210" i="19" s="1"/>
</calcChain>
</file>

<file path=xl/sharedStrings.xml><?xml version="1.0" encoding="utf-8"?>
<sst xmlns="http://schemas.openxmlformats.org/spreadsheetml/2006/main" count="568" uniqueCount="286">
  <si>
    <t/>
  </si>
  <si>
    <t>ESTADO DO RIO DE JANEIRO</t>
  </si>
  <si>
    <t>PREFEITRA MUNICIPAL DE SÃO GONÇALO</t>
  </si>
  <si>
    <t xml:space="preserve">SECRETARIA MUNICIPAL DE TRANSPORTES </t>
  </si>
  <si>
    <t>Item</t>
  </si>
  <si>
    <t>Código</t>
  </si>
  <si>
    <t>Unidade</t>
  </si>
  <si>
    <t>Preço Unitário</t>
  </si>
  <si>
    <t>m</t>
  </si>
  <si>
    <t>Total</t>
  </si>
  <si>
    <t>m2</t>
  </si>
  <si>
    <t>t</t>
  </si>
  <si>
    <t>t.km</t>
  </si>
  <si>
    <t>m3</t>
  </si>
  <si>
    <t>Prefeitura Municipal de São Gonçalo</t>
  </si>
  <si>
    <t>Secretaria Municipal de Transportes</t>
  </si>
  <si>
    <t>CBUQ x 30 km</t>
  </si>
  <si>
    <t>Volume de CBUQ</t>
  </si>
  <si>
    <t>Quantidade</t>
  </si>
  <si>
    <t>Preço</t>
  </si>
  <si>
    <t>Quantid.</t>
  </si>
  <si>
    <t xml:space="preserve">un.mes </t>
  </si>
  <si>
    <t>h</t>
  </si>
  <si>
    <t>AD 15.15.0750</t>
  </si>
  <si>
    <t>Unid.</t>
  </si>
  <si>
    <t>Descrição</t>
  </si>
  <si>
    <t>Área estimada para regularização</t>
  </si>
  <si>
    <t>correção do pavimento e reparos na geometria das vias do Município de São Gonçalo/RJ.</t>
  </si>
  <si>
    <t>PREFEITURA MUNICIPAL DE SÃO GONÇALO - RJ</t>
  </si>
  <si>
    <t>X . Taxa representativa das DESPESAS INDIRETAS, exceto tributos e despesas financeiras</t>
  </si>
  <si>
    <t>TIPO</t>
  </si>
  <si>
    <r>
      <t xml:space="preserve">ALÍQUOTA </t>
    </r>
    <r>
      <rPr>
        <b/>
        <sz val="8"/>
        <rFont val="Arial"/>
        <family val="2"/>
      </rPr>
      <t>(%)</t>
    </r>
  </si>
  <si>
    <t>X.1 - Administração Central</t>
  </si>
  <si>
    <t>X.2 - Seguro e Garantia</t>
  </si>
  <si>
    <t>X.3 - Risco</t>
  </si>
  <si>
    <t>X.3 - Mobilização e Desmobilização</t>
  </si>
  <si>
    <t>X =</t>
  </si>
  <si>
    <t>Y . Taxa representativa das DESPESAS FINANCEIRAS</t>
  </si>
  <si>
    <t>Y.1 - Despesas Financeiras</t>
  </si>
  <si>
    <t>Y =</t>
  </si>
  <si>
    <t>Z . Taxa representativa do LUCRO</t>
  </si>
  <si>
    <t>Z.1 - Lucro Presumido</t>
  </si>
  <si>
    <t>Z =</t>
  </si>
  <si>
    <t>I . Taxa representativa da incidência dos TRIBUTOS ( sobre o FATURAMENTO da empresa )</t>
  </si>
  <si>
    <t>I.1 - ISSQN ( Imposto sobre Serviços de Qualquer Natureza ) - Municipal</t>
  </si>
  <si>
    <t>I.2 - COFINS ( Contribuição para o Financiamento da Seguridade Social) - Federal</t>
  </si>
  <si>
    <t>I.3 - P I S ( Programa de Integração Social ) - Federal</t>
  </si>
  <si>
    <t>I.4 -  Contribuição Previdenciária p/ INSS - Federal - Lei 12.844/2013</t>
  </si>
  <si>
    <t>I =</t>
  </si>
  <si>
    <t>B D I - Benefício e Despesas Indiretas</t>
  </si>
  <si>
    <t>B D I  =</t>
  </si>
  <si>
    <t>( 1 + X )  ( 1 + Y )  ( 1 + Z )</t>
  </si>
  <si>
    <t xml:space="preserve"> - 1</t>
  </si>
  <si>
    <r>
      <t>ç</t>
    </r>
    <r>
      <rPr>
        <sz val="8"/>
        <rFont val="Arial"/>
        <family val="2"/>
      </rPr>
      <t xml:space="preserve">  Fórmula do BDI</t>
    </r>
  </si>
  <si>
    <t>( 1 - I )</t>
  </si>
  <si>
    <r>
      <t xml:space="preserve">X </t>
    </r>
    <r>
      <rPr>
        <sz val="10"/>
        <rFont val="Arial"/>
        <family val="2"/>
      </rPr>
      <t xml:space="preserve">é a Taxa somatória das </t>
    </r>
    <r>
      <rPr>
        <b/>
        <sz val="10"/>
        <rFont val="Arial"/>
        <family val="2"/>
      </rPr>
      <t>DESPESAS INDIRETAS</t>
    </r>
    <r>
      <rPr>
        <sz val="10"/>
        <rFont val="Arial"/>
        <family val="2"/>
      </rPr>
      <t>, exceto tributos e despesas financeiras;</t>
    </r>
  </si>
  <si>
    <r>
      <t xml:space="preserve">Y </t>
    </r>
    <r>
      <rPr>
        <sz val="10"/>
        <rFont val="Arial"/>
        <family val="2"/>
      </rPr>
      <t xml:space="preserve">é a Taxa representativa das </t>
    </r>
    <r>
      <rPr>
        <b/>
        <sz val="10"/>
        <rFont val="Arial"/>
        <family val="2"/>
      </rPr>
      <t>DESPESAS FINANCEIRAS</t>
    </r>
    <r>
      <rPr>
        <sz val="10"/>
        <rFont val="Arial"/>
        <family val="2"/>
      </rPr>
      <t>;</t>
    </r>
  </si>
  <si>
    <r>
      <t xml:space="preserve">Z </t>
    </r>
    <r>
      <rPr>
        <sz val="10"/>
        <rFont val="Arial"/>
        <family val="2"/>
      </rPr>
      <t xml:space="preserve">é a Taxa representativa do </t>
    </r>
    <r>
      <rPr>
        <b/>
        <sz val="10"/>
        <rFont val="Arial"/>
        <family val="2"/>
      </rPr>
      <t>LUCRO</t>
    </r>
    <r>
      <rPr>
        <sz val="10"/>
        <rFont val="Arial"/>
        <family val="2"/>
      </rPr>
      <t>;</t>
    </r>
  </si>
  <si>
    <r>
      <t xml:space="preserve">I </t>
    </r>
    <r>
      <rPr>
        <sz val="10"/>
        <rFont val="Arial"/>
        <family val="2"/>
      </rPr>
      <t xml:space="preserve">é a Taxa representativa dos </t>
    </r>
    <r>
      <rPr>
        <b/>
        <sz val="10"/>
        <rFont val="Arial"/>
        <family val="2"/>
      </rPr>
      <t>IMPOSTOS</t>
    </r>
    <r>
      <rPr>
        <sz val="10"/>
        <rFont val="Arial"/>
        <family val="2"/>
      </rPr>
      <t>.</t>
    </r>
  </si>
  <si>
    <r>
      <t>B.D.I  com Desoneração</t>
    </r>
    <r>
      <rPr>
        <b/>
        <sz val="8"/>
        <rFont val="Arial"/>
        <family val="2"/>
      </rPr>
      <t xml:space="preserve">  </t>
    </r>
    <r>
      <rPr>
        <b/>
        <sz val="8"/>
        <rFont val="Wingdings"/>
        <charset val="2"/>
      </rPr>
      <t>è</t>
    </r>
  </si>
  <si>
    <t>AD 14.15.0550</t>
  </si>
  <si>
    <t>AD 14.15.0650</t>
  </si>
  <si>
    <t>AD 14.15.0750</t>
  </si>
  <si>
    <t>AD 19.05.0500</t>
  </si>
  <si>
    <t>AD 39.05.0122</t>
  </si>
  <si>
    <t>BP 04.05.0050</t>
  </si>
  <si>
    <t>BP 04.05.0150</t>
  </si>
  <si>
    <t>BP 04.05.0450</t>
  </si>
  <si>
    <t xml:space="preserve">BP 09.05.0200 </t>
  </si>
  <si>
    <t>BP 09.05.0400</t>
  </si>
  <si>
    <t>BP 09.05.0500</t>
  </si>
  <si>
    <t>BP 09.05.0670</t>
  </si>
  <si>
    <t>BP 19.10.0150</t>
  </si>
  <si>
    <t>EQ 04.05.0062</t>
  </si>
  <si>
    <t>EQ 14.05.0500</t>
  </si>
  <si>
    <t>EQ 14.05.0503</t>
  </si>
  <si>
    <t>EQ 19.05.0215</t>
  </si>
  <si>
    <t>EQ 19.05.0218</t>
  </si>
  <si>
    <t>ET 04.25.0403</t>
  </si>
  <si>
    <t>ET 39.05.0115</t>
  </si>
  <si>
    <t>ET 59.05.0062</t>
  </si>
  <si>
    <t>MT 04.05.0050</t>
  </si>
  <si>
    <t>MT 14.15.0050</t>
  </si>
  <si>
    <t>RV 14.25.0153</t>
  </si>
  <si>
    <t>SC 04.05.0250</t>
  </si>
  <si>
    <t>SC 04.10.0150</t>
  </si>
  <si>
    <t>SC 04.10.0400</t>
  </si>
  <si>
    <t>SC 14.05.0500</t>
  </si>
  <si>
    <t>TC 04.05.0320</t>
  </si>
  <si>
    <t>TC 09.05.0200</t>
  </si>
  <si>
    <t>Carreta para transporte pesado, com capacidade de carga útil de 60/80t, com motorista operador, material de operação e material de manutenção, com as seguintes especificações mínimas: motor diesel de 330CV, chassis extensível até 21m e semi-reboque de 4 eixos. Custo horário produtivo. (desonerado)</t>
  </si>
  <si>
    <t>Carreta para transporte pesado, com capacidade de carga útil de 60/80t, com motorista operador, com as seguintes especificações mínimas: motor diesel de 330CV, chassis extensível até 21m e semi-reboque de 4 eixos. Custo horário improdutivo (motor desligado). (desonerado)</t>
  </si>
  <si>
    <t>Camada de pó-de-pedra espalhada manualmente, medida após a compactação. (desonerado)</t>
  </si>
  <si>
    <t>Revestimento de concreto betuminoso usinado a quente, executado em uma camada, de acordo com as instruções do DER-RJ, exclusive o transporte da usina para o local de aplicação. (desonerado)</t>
  </si>
  <si>
    <t>Compactador Vibratório, com tambor Pé-de-Carneiro, auto-propulsor, com operador e material de operação, com as seguintes especificações mínimas: motor diesel de 76HP, largura de 1,85m, com 6t a 7t. Custo horário improdutivo (motor funcionando). (desonerado)</t>
  </si>
  <si>
    <t>Lançamento de concreto em peças sem armadura, inclusive a colocação, o adensamento e o acabamento, exclusive o transporte (TC 05.10.0050), considerando a produção normal. (desonerado)</t>
  </si>
  <si>
    <t>Tela de aço soldada Telcon Q-283 ou similar, com malha de (10x10)cm, CA-60, com diâmetro de 6mm e 4,48Kg/m2. Fornecimento e colocação. (desonerado)</t>
  </si>
  <si>
    <t>Escavação manual de vala em material de 1ª categoria (areia, argila ou piçarra), até 1,50m, exclusive escoramento e esgotamento. (desonerado)</t>
  </si>
  <si>
    <t>Pedra britada no 3, inclusive transporte ate 20Km. Fornecimento. (desonerado)</t>
  </si>
  <si>
    <t>Pedra britada no 3, inclusive transporte ate 20Km. Fornecimento.(desonerado)</t>
  </si>
  <si>
    <t>Serviços de manutenção, construção e adequação de ondulações transversais e baias,</t>
  </si>
  <si>
    <t>Veiculo de serviço, motor 1.0, com ar condicionado, direção hidráulica, radio, inclusive combustível, seguro, lubrificação, manutenção, licenciamento, quilometragem livre, sem motorista. Custo mensal. (desonerado)</t>
  </si>
  <si>
    <t>Aluguel de banheiro químico, incluindo transporte de ida e volta, manutenção e higienização 3 vezes por semana. Modelo Luxo, dimensões 2,31 x 1,15 x 1,15m. (desonerado)</t>
  </si>
  <si>
    <t>Engenheiro, arquiteto ou geólogo jr (inclusive encargos sociais). (desonerado)</t>
  </si>
  <si>
    <t>Base de brita corrida, inclusive fornecimento dos materiais, medida apos a compactação.  (desonerado)</t>
  </si>
  <si>
    <t>Regularização de subleito, conforme Caderno de Encargos - PCRJ. O preço indeniza as operações de execução e transporte de água e se aplica a área efetivamente regularizada, exclusive transporte e escavação de corretivos. (desonerado)</t>
  </si>
  <si>
    <t>Espalhamento manual e compactação mecânica de concreto asfaltico usinado a quente, ou de pre-misturado, exclusive fornecimento de todos os materiais. (desonerado)</t>
  </si>
  <si>
    <t>Pintura de ligação, inclusive limpeza do trecho a ser trabalhado. (desonerado)</t>
  </si>
  <si>
    <t>Recomposição de revestimento em concreto asfaltico usinado a quente, executado em áreas de pequenas dimensões; exclusive corte, pintura de ligação e fornecimento de todos os materiais. (desonerado)</t>
  </si>
  <si>
    <t>Meio-fio reto de concreto simples (fck=15MPa), moldado no local, conforme Caderno de Encargos - PCRJ, medindo 0,15m na base e com altura de 0,45m, rejuntamento com argamassa de cimento e areia no traço 1:4, inclusive o fornecimento de todos os materiais, escavação e reaterro. (desonerado)</t>
  </si>
  <si>
    <t>Caminhão basculante, capacidade de 5m3, com motorista, material de operação, material de manutenção e licenciamento, com as seguintes especificações mínimas: motor diesel de 208CV. Custo mensal.  (desonerado)</t>
  </si>
  <si>
    <t>Retro-Escavadeira/carregadeira, com operador e material de operação, com as seguintes especificações mínimas: motor de 70HP, carregadeira com sistema de travamento de segurança, capacidade coroada de 0,76m3, forca de desagregação de 3600Kgf, capacidade de carga de 2400Kg na elevação máxima, profundidade de escavação de 100mm; escavadeira com capacidade coroada de 0,23m3, com 4 dentes, arco de giro de 180o, forca de escavação, profundidade de escavação máxima de 4000mm, altura de carga mínima de 3000mm; cabine com para brisa dianteiro, retrovisores externos e interno e luzes de sinalização conforme normas do CONTRAN. Custo horário produtivo. (desonerado)</t>
  </si>
  <si>
    <t>Retro-Escavadeira/carregadeira, com operador e material de operação, com as seguintes especificações mínimas: motor de 70HP, carregadeira com sistema de travamento de segurança, capacidade coroada de 0,76m3, forca de desagregação de 3600Kgf, capacidade de carga de 2400Kg na elevação máxima, profundidade de escavação de 100mm; escavadeira com capacidade coroada de 0,23m3, com 4 dentes, arco de giro de 180o, forca de escavação, profundidade de escavação máxima de 4000mm, altura de carga mínima de 3000mm; cabine com para brisa dianteiro, retrovisores externos e interno e luzes de sinalização conforme normas do CONTRAN. Custo horário improdutivo (motor funcionando). (desonerado)</t>
  </si>
  <si>
    <t>Compactador Vibratório, com tambor Pe-de-Carneiro, auto-propulsor, com operador, material de operação e material de manutenção, com as seguintes especificações mínimas: motor diesel de 76HP, largura de 1,85m, com 6t a 7t. Custo horário produtivo. (desonerado)</t>
  </si>
  <si>
    <t>Concreto importado de usina dosado racionalmente para uma resistência característica a compressão de 20MPa. (desonerado)</t>
  </si>
  <si>
    <t>Preparo de solo ate 30cm de profundidade, compreendendo escavação e acerto manuais e compactação mecânica com remoção ate 20m.  (desonerado)</t>
  </si>
  <si>
    <t>Pátio de concreto, 10cm de espessura no traço 1:2:3, em volume, formando quadros de (1,50x1,50)m, com sarrafos de madeira serrada, incorporados, exclusive preparo terreno.  (desonerado)</t>
  </si>
  <si>
    <t>Arrancamento de meios-fios, de granito ou concreto retos ou curvos, inclusive afastamento lateral dentro do canteiro de serviço.  (desonerado)</t>
  </si>
  <si>
    <t>Demolição, com equipamento de ar comprimido, de pisos ou pavimento de concreto simples, inclusive afastamento lateral dentro de canteiro de serviços. (desonerado)</t>
  </si>
  <si>
    <t>Demolição, com equipamento de ar comprimido, de pavimentação de concreto asfaltico, com 10cm de espessura, inclusive afastamento lateral dentro do canteiro de serviços. (desonerado)</t>
  </si>
  <si>
    <t>Transporte de carga de qualquer natureza; exclusive as despesas de carga e descarga tanto de espera do caminhão como do servente ou equipamento auxiliar, em baixa velocidade (Vm=20Km/h), em Caminhão Basculante a óleo diesel, com capacidade útil de 8t. (desonerado)</t>
  </si>
  <si>
    <t>Carga manual e descarga mecânica de material a granel (agregados, pedra-de-mao, paralelos, terra e escombro), compreendendo os tempos para carga, descarga e manobras do Caminhão Basculante a óleo diesel, com capacidade útil de 8t, empregando 4 serventes na carga. (desonerado)</t>
  </si>
  <si>
    <t>Estimativa a ser substituída/recuperada</t>
  </si>
  <si>
    <t>Retro-Escavadeira/carregadeira, com operador e material de operação, com as seguintes especificações mínimas: motor de 70HP, carregadeira com sistema de travamento de segurança, capacidade coroada de 0,76m3, forca de desagregação de 3600Kgf, capacidade de carga de 2400Kg na elevação máxima, profundidade de escavação de 100mm; escavadeira com capacidade coroada de 0,23m3, com 4 dentes, arco de giro de 180o, forca de escavação, profundidade de escavação máxima de 4000mm, altura de carga mínima de 3000mm; cabine com para brisa dianteiro, retrovisores externos e interno e luzes de sinalização conforme normas do CONTRAN. Custo horário improdutivo (motor funcionando).</t>
  </si>
  <si>
    <t>Área estimada de calçadas a serem construídas/recuperadas</t>
  </si>
  <si>
    <t>Transporte de carga de qualquer natureza; exclusive as despesas de carga e descarga tanto de espera do caminhão como do servente ou equipamento auxiliar, em baixa velocidade (Vm=20Km/h), em Caminhão Basculante a óleo diesel, com capacidade útil de 8t.(desonerado)</t>
  </si>
  <si>
    <t>Carga manual e descarga mecânica de material a granel (agregados, pedra-de-mao, paralelos, terra e escombro), compreendendo os tempos para carga, descarga e manobras do Caminhão Basculante a óleo diesel, com capacidade útil de 8t, empregando 4 serventes na carga.(desonerado)</t>
  </si>
  <si>
    <t>OBRA:</t>
  </si>
  <si>
    <t>DIAS</t>
  </si>
  <si>
    <t>R$</t>
  </si>
  <si>
    <t>%</t>
  </si>
  <si>
    <t>CORRIDOS</t>
  </si>
  <si>
    <t>ETAPA</t>
  </si>
  <si>
    <t>PERÍODO DE EXECUÇÃO</t>
  </si>
  <si>
    <t>PARCIAL</t>
  </si>
  <si>
    <t>ACUMULADO</t>
  </si>
  <si>
    <t>1ª</t>
  </si>
  <si>
    <t>à</t>
  </si>
  <si>
    <t>2ª</t>
  </si>
  <si>
    <t>3ª</t>
  </si>
  <si>
    <t>4ª</t>
  </si>
  <si>
    <t>5ª</t>
  </si>
  <si>
    <t>6ª</t>
  </si>
  <si>
    <t>7ª</t>
  </si>
  <si>
    <t>8ª</t>
  </si>
  <si>
    <t>9ª</t>
  </si>
  <si>
    <t>10ª</t>
  </si>
  <si>
    <t>11ª</t>
  </si>
  <si>
    <t>12ª</t>
  </si>
  <si>
    <t>Veiculo de serviço, motor 1.0, com ar condicionado, direção hidráulica, radio, inclusive combustível, seguro, lubrificação, manutenção, licenciamento, quilometragem livre, sem motorista. Custo mensal.</t>
  </si>
  <si>
    <t>Semaforo para sinalizacao de obra na via publica, compreendendo exclusivamente o servico e retirada.</t>
  </si>
  <si>
    <t>un</t>
  </si>
  <si>
    <t>Semaforo para sinalizacao de obra na via publica, compreendendo o fornecimento do semaforo, do suporte de madeira e do material eletrico. Exclusive a colocacao e retirada</t>
  </si>
  <si>
    <t>AD 20.25.0350</t>
  </si>
  <si>
    <t>AD 20.25.0400</t>
  </si>
  <si>
    <t>Placa de sinalizacao para obra na via publica, com 0,60m de largura por 1m de altura, com avisos em letras pintadas, compreendendo o fornecimento e pintura, inclusive da estrutura e suporte em madeira serrada e base de concreto.</t>
  </si>
  <si>
    <t>Placa de sinalizacao para obra na via publica, compreendendo exclusivamente o servico de colocacao e retirada.</t>
  </si>
  <si>
    <t>AD 20.25.0200</t>
  </si>
  <si>
    <t>AD 20.25.0250</t>
  </si>
  <si>
    <t>Levantamento ou rebaixamento de grelha de caixa de ralo sobre faixa de rolamento, considerando demolicao de camada de asfalto e concreto, movimentacao e concretagem, inclusive transporte de material e bota fora do material excedente.</t>
  </si>
  <si>
    <t>Levantamento ou rebaixamento de tampao sobre faixa de rolamento, considerando demolicao de camada de asfalto e concreto, movimentacao e concretagem, inclusive transporte de material e bota fora do material excedente.</t>
  </si>
  <si>
    <t>Levantamento ou rebaixamento de tampao sobre faixa de rolamento de trafego pesado, considerando demolicao de camada de asfalto e concreto, movimentacao e concretagem com concreto de 30 MPa, inclusive transporte de material e bota fora do material excedente.</t>
  </si>
  <si>
    <t>Levantamento ou rebaixamento de tampao sobre calcada, considerando demolicao de camada de concreto, movimentacao e concretagem, inclusive cerca protetora, transporte de material e bota fora do material excedente.</t>
  </si>
  <si>
    <t>SC 35.05.0040</t>
  </si>
  <si>
    <t>SC 35.05.0050</t>
  </si>
  <si>
    <t>SC 35.05.0060</t>
  </si>
  <si>
    <t>SC 35.05.0100</t>
  </si>
  <si>
    <t>Imprimacao de base de pavimentacao, conforme Caderno de Encargos - PCRJ.</t>
  </si>
  <si>
    <t>BP 05.05.0400</t>
  </si>
  <si>
    <t>Sarjeta e meio-fio conjugados, de concreto simples (fck=15MPa), moldado no local, conforme Caderno de Encargos - PCRJ, medindo 0,45m de base e com altura de 0,30m, rejuntamento de argamassa de cimento e areia no traco 1:4; inclusive o fornecimento de todos os materiais.</t>
  </si>
  <si>
    <t>BP 20.15.0050</t>
  </si>
  <si>
    <t>Corte mecanico com fresadora a frio, em concreto asfaltico, em zona urbana com interferencias, inclusive coleta do material em caminhao basculante, exclusive transporte do material.</t>
  </si>
  <si>
    <t>BP 15.05.0060</t>
  </si>
  <si>
    <t>Contratação de empresa especializada para manutenção e adequação de ondulações transversais e baias, correção do pavimento e reparos na geometria das vias e nas redes de águas pluviais do Município de São Gonçalo/RJ</t>
  </si>
  <si>
    <t>Rolo de tela plastica, nas dimensoes de (50x1,20)m, na cor laranja, sendo utilizada 2 vezes. Fornecimento.</t>
  </si>
  <si>
    <t>Reaterro de vala, com po-de-pedra, compactado manualmente, inclusive fornecimento do material.</t>
  </si>
  <si>
    <t>Tubo de concreto armado, classe PA-1, para galerias de aguas pluviais, com diametro de 0,40m, aterro e compactacao ate a geratriz superior do tubo; inclusive fornecimento do material para rejuntamento com argamassa de cimento e areia no traco 1:4. Fornecimento e assentamento.</t>
  </si>
  <si>
    <t>Tubo de concreto armado, classe PA-1, para galerias de aguas pluviais, com diametro de 0,60m, aterro e compactacao ate a geratriz superior do tubo; inclusive fornecimento do material para rejuntamento com argamassa de cimento e areia no traco 1:4. Fornecimento e assentamento.</t>
  </si>
  <si>
    <t>Tubo de concreto armado, classe PA-1, para galerias de aguas pluviais, com diametro de 0,80m, aterro e compactacao ate a geratriz superior do tubo; inclusive fornecimento do material para rejuntamento com argamassa de cimento e areia no traco 1:4. Fornecimento e assentamento.</t>
  </si>
  <si>
    <t>Tubo de concreto armado, classe PA-1, para galerias de aguas pluviais, com diametro de 1,00m, aterro e compactacao ate a geratriz superior do tubo; inclusive fornecimento do material para rejuntamento com argamassa de cimento e areia no traco 1:4. Fornecimento e assentamento.</t>
  </si>
  <si>
    <t>Poco de visita de blocos de concreto de (20x20x40)cm, com paredes de 0,20m de espessura, medindo internamente (1,20x1,20x1,40)m, utilizando no preenchimento dos vazios dos blocos, concreto para camada preparatoria, revestimento interno das paredes com argamassa de cimento e areia no traco 1:4 em volume, com a base de 0,15m e almofadas em concreto fck=15MPa; tampa de 0,15m de espessura em concreto fck=20MPa, degraus de ferro fundido para utilizacao em coletor de aguas pluviais de 0,40m a 0,70m de diametro, exclusive a escavacao e reaterro.</t>
  </si>
  <si>
    <t>Poco de visita de blocos de concreto de (20x20x40)cm, com paredes de 0,20m de espessura, medindo internamente (1,30x1,30x1,40)m, utilizando no preenchimento dos vazios dos blocos, concreto para camada preparatoria, revestimento interno das paredes com argamassa de cimento e areia no traco 1:4 em volume, com a base de 0,15m e almofadas em concreto fck=15MPa; tampa de 0,15m de espessura em concreto fck=20MPa, degraus de ferro fundido para utilizacao em coletor de aguas pluviais de 0,80m de diametro, exclusive a escavacao e reaterro.</t>
  </si>
  <si>
    <t>Poco de visita de blocos de concreto de (20x20x40)cm, com parede de 0,20m de espessura, medindo internamente (1,50x1,50x1,60)m, utilizando no preenchimento dos vazios dos blocos, concreto para camada preparatoria, revestimento interno das paredes com argamassa de cimento e areia no traco 1:4 em volume, com a base de 0,15m e almofadas em concreto fck=15MPa, tampa de 0,15m de espessura em concreto fck=20MPa, degraus de ferro fundido para utilizacao em coletor de aguas pluviais de 1,00m de diametro; exclusive a escavacao e reaterro.</t>
  </si>
  <si>
    <t>Tampao de ferro fundido completo, de 0,60m de diametro, com 175Kg, para chamines de caixa de areia ou poco de visita, assentamento com argamassa de cimento e areia no traco 1:4 em volume. Fornecimento e assentamento.</t>
  </si>
  <si>
    <t>Caixa de ralo, de alvenaria de tijolo macico (7x10x20)cm em paredes de uma vez (0,20m), de (0,40x1,00x1,00)m, utilizando argamassa de cimento e areia no traco 1:4 em volume, sendo as paredes revestidas internamente com a mesma argamassa, com base de 0,20m de concreto dosado para fck=11MPa, exclusive escavacao e reaterro.</t>
  </si>
  <si>
    <t>Grelha de ferro fundido completa, de (30x90)cm, com 135Kg, para caixa de ralo, articulada, assentada com argamassa de cimento e areia no traco 1:4, padrao Prefeitura-RJ. Fornecimento e colocacao.</t>
  </si>
  <si>
    <t>Embasamento de tubulacao, feito com po-de-pedra.</t>
  </si>
  <si>
    <t>Equipamento de alta pressao para succao e limpeza de detritos (Vac-All ou similar), com motorista, operador, ajudante, material de opracao e material de manutencao, inclusive vazamento do material recolhido, com as seguintas especificacoes minimas: deposito para detritos com capacidade de 11.000l, porta articulavel, sistema de succao com vazao de 340m3/min, tanque de agua de 1.000l, mangote de succao de 12", com acessorios e opcionais. Custo horario corrido.</t>
  </si>
  <si>
    <t>AD 25.05.0450</t>
  </si>
  <si>
    <t>MT 15.05.0300</t>
  </si>
  <si>
    <t>DR 05.20.0050</t>
  </si>
  <si>
    <t>DR 05.20.0150</t>
  </si>
  <si>
    <t>DR 05.20.0250</t>
  </si>
  <si>
    <t>DR 05.20.0350</t>
  </si>
  <si>
    <t>DR 20.10.0050</t>
  </si>
  <si>
    <t>DR 20.10.0053</t>
  </si>
  <si>
    <t>DR 20.10.0059</t>
  </si>
  <si>
    <t>DR 35.05.0253</t>
  </si>
  <si>
    <t>DR 30.15.0050</t>
  </si>
  <si>
    <t>DR 35.10.0100</t>
  </si>
  <si>
    <t>DR 55.05.0450</t>
  </si>
  <si>
    <t>EQ 40.05.0153</t>
  </si>
  <si>
    <t>BDI</t>
  </si>
  <si>
    <t>Moto-bomba sobre rodas, com bomba centrifuga auto-escorvante de rotor aberto de 5,3HP, para drenagem de agua limpa ou com impurezas e particulas abrasivas, sem operador, com material de operacao e material de manutencao, com as seguintes especificacoes minimas: motor a gasolina de 5,3HP, succao de 3" e recalque de 3", com respectivas mangueiras e acessorios. Custo horario produtivo.</t>
  </si>
  <si>
    <t>Moto-bomba sobre rodas, com bomba centrifuga auto-escorvante de rotor aberto de 5,3HP, para drenagem de agua limpa ou com impurezas e particulas abrasivas, sem operador, com material de operacao, com as seguintes especificacoes minimas: motor a gasolina de 5,3HP, succao de 3" e recalque de 3", com respectivas mangueiras e acessorios. Custo horario improdutivo.</t>
  </si>
  <si>
    <t>Escavacao mecanica, em material de 1a categoria (areia, argila ou picarra), utilizando Retro-Escavadeira.(desonerado)</t>
  </si>
  <si>
    <t>Escavacao mecanica, em material de 1a categoria (areia, argila ou picarra), utilizando Escavadeira Hidraulica de 0,78m3.(desonerado)</t>
  </si>
  <si>
    <t>MT 09.05.0050</t>
  </si>
  <si>
    <t>MT 09.10.0050</t>
  </si>
  <si>
    <t>ST 75.05.0050</t>
  </si>
  <si>
    <t>Sinalizacao horizontal com resina acrilica, em projetos ate 60m2, conforme especificacoes da CET-RIO.</t>
  </si>
  <si>
    <t>1 veículo x 12 meses x 12 dias x 4 horas</t>
  </si>
  <si>
    <t>2 veículos x 12 meses</t>
  </si>
  <si>
    <t>1 unid x 2 frentes de trabalho x 12 meses</t>
  </si>
  <si>
    <t>300 unid x 0,60 x 1,00m2</t>
  </si>
  <si>
    <t>300 unid x 10 vezes (colocação e retirada)</t>
  </si>
  <si>
    <t>250 unid</t>
  </si>
  <si>
    <t>250 unid x 5 vezes (colocação e retirada)</t>
  </si>
  <si>
    <t>1 eng x 160 horas x 12 meses</t>
  </si>
  <si>
    <t>Extensão da rede de drenagem x 2 lados</t>
  </si>
  <si>
    <t>Área de regularização x 0,20 m = 10.000,0m2 x 0,20m</t>
  </si>
  <si>
    <t>Área de regularização</t>
  </si>
  <si>
    <t>10.000m2 x 0,1m x 2,3t/m3</t>
  </si>
  <si>
    <t>Ondulações, travessias elevadas e tapa buraco</t>
  </si>
  <si>
    <t>250m3 x 2,3t/m3</t>
  </si>
  <si>
    <t>Área de regularização x 0,05 m = 10.000,0m2 x 0,05m</t>
  </si>
  <si>
    <t>3 veículo x 12 meses</t>
  </si>
  <si>
    <t>Tubo de 0,80 / 25,0m</t>
  </si>
  <si>
    <t>Tubo de 1,00 / 25,0m</t>
  </si>
  <si>
    <t>Quantidade de PV x 2</t>
  </si>
  <si>
    <t>Quantidade de PV</t>
  </si>
  <si>
    <t>2 x diametro do tubo de 0,40m x 0,15</t>
  </si>
  <si>
    <t>2 x diametro do tubo de 0,60m x 0,15</t>
  </si>
  <si>
    <t>2 x diametro do tubo de 0,80m x 0,15</t>
  </si>
  <si>
    <t>2 x diametro do tubo de 1,00m x 0,15</t>
  </si>
  <si>
    <t>2 veículos x 12 meses x 22 dias x 4 horas</t>
  </si>
  <si>
    <t>2 veículo x 12 meses x 6 dias x 4 horas</t>
  </si>
  <si>
    <t>Tubo de 0,40 + 0,60 / 25,0m</t>
  </si>
  <si>
    <t>EQ 35.10.0500</t>
  </si>
  <si>
    <t>EQ 35.10.0503</t>
  </si>
  <si>
    <t>1 bomba x 12 meses x 12 dias x 4 horas</t>
  </si>
  <si>
    <t>Área das baias a serem construídas = 2.000m2 x 25cm</t>
  </si>
  <si>
    <t>50% área das baias a serem construídas = 2.000m2 / 2</t>
  </si>
  <si>
    <t>Extensão de meio fio x 0,8m x 0,3m</t>
  </si>
  <si>
    <t>2 x diametro do tubo de 0,60m x 1,50m</t>
  </si>
  <si>
    <t>2 x diametro do tubo de 0,40m x 1,50m</t>
  </si>
  <si>
    <t>2 x diametro do tubo de 0,80m x 1,50m</t>
  </si>
  <si>
    <t>2 x diametro do tubo de 1,00m x 1,50m</t>
  </si>
  <si>
    <t>PV(1,2x1,2) = 1,7 x 1,7 x 1,50m</t>
  </si>
  <si>
    <t>PV(1,3 x 1,3) = 1,8 x 1,8 x 1,50m</t>
  </si>
  <si>
    <t>PV(1,5 x 1,5) = 2,0 x 2,0 x 1,50m</t>
  </si>
  <si>
    <t>Área de baias x 1,0m</t>
  </si>
  <si>
    <t>2 x diametro do tubo de 0,40m</t>
  </si>
  <si>
    <t>2 x diametro do tubo de 0,60m</t>
  </si>
  <si>
    <t>2 x diametro do tubo de 0,80m</t>
  </si>
  <si>
    <t>2 x diametro do tubo de 1,00m</t>
  </si>
  <si>
    <t>Área de calçadas a serem construídas/recuperadas</t>
  </si>
  <si>
    <t>2 x diametro do tubo de 1,00m x 2,0m</t>
  </si>
  <si>
    <t>2 x diametro do tubo de 0,40m x 2,0m</t>
  </si>
  <si>
    <t>2 x diametro do tubo de 0,60m x 2,0m</t>
  </si>
  <si>
    <t>2 x diametro do tubo de 0,80m x 2,0m</t>
  </si>
  <si>
    <t>Demolição para rede de drenagem</t>
  </si>
  <si>
    <t>Lombadas a serem removidas 2000,0m x 0,1m2</t>
  </si>
  <si>
    <t>Demolição rede de drenagem e calçadas x 0,1m</t>
  </si>
  <si>
    <t>Lombadas a serem removidas 1650,0m2</t>
  </si>
  <si>
    <t>Área de regularização de concreto asfáltico x 0,30m</t>
  </si>
  <si>
    <t>Área de pintura primária para ondulações transversais</t>
  </si>
  <si>
    <t>Demolição concreto</t>
  </si>
  <si>
    <t>Demolição concreto e CBUQ</t>
  </si>
  <si>
    <t>Material 1ª categoria</t>
  </si>
  <si>
    <t>material proveniente da carga-bota fora x 15 km</t>
  </si>
  <si>
    <t>AD - Administração Local</t>
  </si>
  <si>
    <t>BP - Base e Pavimentos</t>
  </si>
  <si>
    <t>DR - Galerias, drenos e conexões</t>
  </si>
  <si>
    <t>EQ - Equipamentos</t>
  </si>
  <si>
    <t>MT - Movimento de Terra</t>
  </si>
  <si>
    <t>ET - Estruturas</t>
  </si>
  <si>
    <t>RV - Revestimentos</t>
  </si>
  <si>
    <t>SC - Serciços complementares</t>
  </si>
  <si>
    <t>ST - Serviço de Engenharia de Transito</t>
  </si>
  <si>
    <t>TC - Transporte, carga e descarga</t>
  </si>
  <si>
    <t>SCO - FVG - JUN/2022</t>
  </si>
  <si>
    <t>ANEXO III - PLANILHA ORÇAMENTÁRIA</t>
  </si>
  <si>
    <t>Anexo IV - Memória de Cálculo</t>
  </si>
  <si>
    <r>
      <t xml:space="preserve">ANEXO V - COMPOSIÇÃO   DO   B.D.I  -  </t>
    </r>
    <r>
      <rPr>
        <b/>
        <sz val="12"/>
        <color indexed="10"/>
        <rFont val="Arial"/>
        <family val="2"/>
      </rPr>
      <t>COM Desoneração</t>
    </r>
    <r>
      <rPr>
        <b/>
        <sz val="12"/>
        <color indexed="12"/>
        <rFont val="Arial"/>
        <family val="2"/>
      </rPr>
      <t xml:space="preserve"> - Lei 12.844/13</t>
    </r>
  </si>
  <si>
    <t>ANEXO VI - CRONOGRAMA FÍSICO/FINANCEIRO</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</si>
</sst>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0.00_ ;[Red]\-#,##0.00\ "/>
  </numFmts>
  <fonts count="50" x14ac:knownFonts="1">
    <font>
      <sz val="11"/>
      <color theme="1"/>
      <name val="Calibri"/>
      <family val="2"/>
      <scheme val="minor"/>
    </font>
    <font>
      <sz val="11"/>
      <color theme="1"/>
      <name val="Calibri"/>
      <family val="2"/>
      <scheme val="minor"/>
    </font>
    <font>
      <sz val="10"/>
      <name val="Times New Roman"/>
      <family val="1"/>
    </font>
    <font>
      <b/>
      <sz val="10"/>
      <name val="Times New Roman"/>
      <family val="1"/>
    </font>
    <font>
      <sz val="11"/>
      <color theme="1"/>
      <name val="Times New Roman"/>
      <family val="1"/>
    </font>
    <font>
      <sz val="10"/>
      <color theme="1"/>
      <name val="Times New Roman"/>
      <family val="1"/>
    </font>
    <font>
      <b/>
      <sz val="14"/>
      <name val="Times New Roman"/>
      <family val="1"/>
    </font>
    <font>
      <sz val="11"/>
      <name val="Times New Roman"/>
      <family val="1"/>
    </font>
    <font>
      <b/>
      <sz val="11"/>
      <color theme="1"/>
      <name val="Times New Roman"/>
      <family val="1"/>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family val="2"/>
    </font>
    <font>
      <b/>
      <sz val="12"/>
      <name val="Arial"/>
      <family val="2"/>
    </font>
    <font>
      <sz val="8"/>
      <name val="Arial"/>
      <family val="2"/>
    </font>
    <font>
      <sz val="5"/>
      <color indexed="12"/>
      <name val="Arial"/>
      <family val="2"/>
    </font>
    <font>
      <b/>
      <sz val="9"/>
      <name val="Arial"/>
      <family val="2"/>
    </font>
    <font>
      <b/>
      <sz val="10"/>
      <name val="Arial"/>
      <family val="2"/>
    </font>
    <font>
      <b/>
      <sz val="8"/>
      <name val="Arial"/>
      <family val="2"/>
    </font>
    <font>
      <b/>
      <sz val="14"/>
      <name val="Arial"/>
      <family val="2"/>
    </font>
    <font>
      <sz val="14"/>
      <name val="Arial"/>
      <family val="2"/>
    </font>
    <font>
      <b/>
      <sz val="12"/>
      <color indexed="12"/>
      <name val="Arial"/>
      <family val="2"/>
    </font>
    <font>
      <b/>
      <sz val="12"/>
      <color indexed="10"/>
      <name val="Arial"/>
      <family val="2"/>
    </font>
    <font>
      <b/>
      <sz val="12"/>
      <color indexed="50"/>
      <name val="Arial"/>
      <family val="2"/>
    </font>
    <font>
      <b/>
      <sz val="10"/>
      <color indexed="12"/>
      <name val="Arial"/>
      <family val="2"/>
    </font>
    <font>
      <b/>
      <sz val="10"/>
      <color indexed="17"/>
      <name val="Arial"/>
      <family val="2"/>
    </font>
    <font>
      <b/>
      <sz val="10"/>
      <color indexed="10"/>
      <name val="Arial"/>
      <family val="2"/>
    </font>
    <font>
      <b/>
      <sz val="8"/>
      <color indexed="17"/>
      <name val="Arial"/>
      <family val="2"/>
    </font>
    <font>
      <sz val="10"/>
      <name val="Wingdings"/>
      <charset val="2"/>
    </font>
    <font>
      <b/>
      <sz val="7"/>
      <name val="Arial"/>
      <family val="2"/>
    </font>
    <font>
      <b/>
      <sz val="8"/>
      <name val="Wingdings"/>
      <charset val="2"/>
    </font>
    <font>
      <b/>
      <sz val="15"/>
      <name val="Times New Roman"/>
      <family val="1"/>
    </font>
    <font>
      <sz val="14"/>
      <name val="Times New Roman"/>
      <family val="1"/>
    </font>
    <font>
      <sz val="12"/>
      <name val="Times New Roman"/>
      <family val="1"/>
    </font>
    <font>
      <i/>
      <sz val="10"/>
      <name val="Times New Roman"/>
      <family val="1"/>
    </font>
    <font>
      <b/>
      <sz val="10.5"/>
      <name val="Times New Roman"/>
      <family val="1"/>
    </font>
    <font>
      <sz val="10"/>
      <color theme="1"/>
      <name val="Calibri"/>
      <family val="2"/>
      <scheme val="minor"/>
    </font>
  </fonts>
  <fills count="37">
    <fill>
      <patternFill patternType="none"/>
    </fill>
    <fill>
      <patternFill patternType="gray125"/>
    </fill>
    <fill>
      <patternFill patternType="solid">
        <fgColor indexed="47"/>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13"/>
        <bgColor indexed="64"/>
      </patternFill>
    </fill>
    <fill>
      <patternFill patternType="solid">
        <fgColor indexed="9"/>
        <bgColor indexed="64"/>
      </patternFill>
    </fill>
    <fill>
      <patternFill patternType="solid">
        <fgColor theme="9" tint="0.39997558519241921"/>
        <bgColor indexed="64"/>
      </patternFill>
    </fill>
  </fills>
  <borders count="6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top style="thin">
        <color indexed="64"/>
      </top>
      <bottom/>
      <diagonal/>
    </border>
    <border>
      <left/>
      <right/>
      <top style="medium">
        <color indexed="64"/>
      </top>
      <bottom style="medium">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s>
  <cellStyleXfs count="47">
    <xf numFmtId="0" fontId="0" fillId="0" borderId="0"/>
    <xf numFmtId="43" fontId="1" fillId="0" borderId="0" applyFont="0" applyFill="0" applyBorder="0" applyAlignment="0" applyProtection="0"/>
    <xf numFmtId="0" fontId="9" fillId="0" borderId="0" applyNumberFormat="0" applyFill="0" applyBorder="0" applyAlignment="0" applyProtection="0"/>
    <xf numFmtId="0" fontId="10" fillId="0" borderId="11" applyNumberFormat="0" applyFill="0" applyAlignment="0" applyProtection="0"/>
    <xf numFmtId="0" fontId="11" fillId="0" borderId="12" applyNumberFormat="0" applyFill="0" applyAlignment="0" applyProtection="0"/>
    <xf numFmtId="0" fontId="12" fillId="0" borderId="13" applyNumberFormat="0" applyFill="0" applyAlignment="0" applyProtection="0"/>
    <xf numFmtId="0" fontId="12" fillId="0" borderId="0" applyNumberFormat="0" applyFill="0" applyBorder="0" applyAlignment="0" applyProtection="0"/>
    <xf numFmtId="0" fontId="13" fillId="3" borderId="0" applyNumberFormat="0" applyBorder="0" applyAlignment="0" applyProtection="0"/>
    <xf numFmtId="0" fontId="14" fillId="4" borderId="0" applyNumberFormat="0" applyBorder="0" applyAlignment="0" applyProtection="0"/>
    <xf numFmtId="0" fontId="15" fillId="5" borderId="0" applyNumberFormat="0" applyBorder="0" applyAlignment="0" applyProtection="0"/>
    <xf numFmtId="0" fontId="16" fillId="6" borderId="14" applyNumberFormat="0" applyAlignment="0" applyProtection="0"/>
    <xf numFmtId="0" fontId="17" fillId="7" borderId="15" applyNumberFormat="0" applyAlignment="0" applyProtection="0"/>
    <xf numFmtId="0" fontId="18" fillId="7" borderId="14" applyNumberFormat="0" applyAlignment="0" applyProtection="0"/>
    <xf numFmtId="0" fontId="19" fillId="0" borderId="16" applyNumberFormat="0" applyFill="0" applyAlignment="0" applyProtection="0"/>
    <xf numFmtId="0" fontId="20" fillId="8" borderId="17" applyNumberFormat="0" applyAlignment="0" applyProtection="0"/>
    <xf numFmtId="0" fontId="21" fillId="0" borderId="0" applyNumberFormat="0" applyFill="0" applyBorder="0" applyAlignment="0" applyProtection="0"/>
    <xf numFmtId="0" fontId="1" fillId="9" borderId="18" applyNumberFormat="0" applyFont="0" applyAlignment="0" applyProtection="0"/>
    <xf numFmtId="0" fontId="22" fillId="0" borderId="0" applyNumberFormat="0" applyFill="0" applyBorder="0" applyAlignment="0" applyProtection="0"/>
    <xf numFmtId="0" fontId="23" fillId="0" borderId="19" applyNumberFormat="0" applyFill="0" applyAlignment="0" applyProtection="0"/>
    <xf numFmtId="0" fontId="24"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24" fillId="13" borderId="0" applyNumberFormat="0" applyBorder="0" applyAlignment="0" applyProtection="0"/>
    <xf numFmtId="0" fontId="24"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24" fillId="17" borderId="0" applyNumberFormat="0" applyBorder="0" applyAlignment="0" applyProtection="0"/>
    <xf numFmtId="0" fontId="24"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24" fillId="21" borderId="0" applyNumberFormat="0" applyBorder="0" applyAlignment="0" applyProtection="0"/>
    <xf numFmtId="0" fontId="24"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24" fillId="25" borderId="0" applyNumberFormat="0" applyBorder="0" applyAlignment="0" applyProtection="0"/>
    <xf numFmtId="0" fontId="24"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24" fillId="29" borderId="0" applyNumberFormat="0" applyBorder="0" applyAlignment="0" applyProtection="0"/>
    <xf numFmtId="0" fontId="24"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24" fillId="33" borderId="0" applyNumberFormat="0" applyBorder="0" applyAlignment="0" applyProtection="0"/>
    <xf numFmtId="0" fontId="25" fillId="0" borderId="0"/>
    <xf numFmtId="0" fontId="25" fillId="0" borderId="0"/>
    <xf numFmtId="9" fontId="25" fillId="0" borderId="0" applyFont="0" applyFill="0" applyBorder="0" applyAlignment="0" applyProtection="0"/>
    <xf numFmtId="9" fontId="1" fillId="0" borderId="0" applyFont="0" applyFill="0" applyBorder="0" applyAlignment="0" applyProtection="0"/>
  </cellStyleXfs>
  <cellXfs count="200">
    <xf numFmtId="0" fontId="0" fillId="0" borderId="0" xfId="0"/>
    <xf numFmtId="0" fontId="2" fillId="0" borderId="1" xfId="0" applyNumberFormat="1" applyFont="1" applyFill="1" applyBorder="1" applyAlignment="1" applyProtection="1">
      <alignment vertical="top"/>
    </xf>
    <xf numFmtId="0" fontId="2" fillId="0" borderId="2" xfId="0" applyNumberFormat="1" applyFont="1" applyFill="1" applyBorder="1" applyAlignment="1" applyProtection="1">
      <alignment vertical="top"/>
    </xf>
    <xf numFmtId="0" fontId="0" fillId="0" borderId="0" xfId="0" applyNumberFormat="1" applyFont="1" applyFill="1" applyBorder="1" applyAlignment="1" applyProtection="1">
      <alignment vertical="top"/>
    </xf>
    <xf numFmtId="0" fontId="2" fillId="0" borderId="4" xfId="0" applyNumberFormat="1" applyFont="1" applyFill="1" applyBorder="1" applyAlignment="1" applyProtection="1">
      <alignment vertical="top"/>
    </xf>
    <xf numFmtId="0" fontId="2" fillId="0" borderId="0" xfId="0" applyNumberFormat="1" applyFont="1" applyFill="1" applyBorder="1" applyAlignment="1" applyProtection="1">
      <alignment vertical="top"/>
    </xf>
    <xf numFmtId="0" fontId="3" fillId="0" borderId="7" xfId="0" applyNumberFormat="1" applyFont="1" applyFill="1" applyBorder="1" applyAlignment="1" applyProtection="1">
      <alignment vertical="top"/>
    </xf>
    <xf numFmtId="0" fontId="3" fillId="0" borderId="0" xfId="0" applyNumberFormat="1" applyFont="1" applyFill="1" applyBorder="1" applyAlignment="1" applyProtection="1">
      <alignment vertical="top"/>
    </xf>
    <xf numFmtId="0" fontId="2" fillId="0" borderId="9" xfId="0" applyNumberFormat="1" applyFont="1" applyFill="1" applyBorder="1" applyAlignment="1" applyProtection="1">
      <alignment horizontal="center" vertical="center"/>
    </xf>
    <xf numFmtId="0" fontId="2" fillId="0" borderId="9" xfId="0" applyNumberFormat="1" applyFont="1" applyFill="1" applyBorder="1" applyAlignment="1" applyProtection="1">
      <alignment horizontal="justify" vertical="top"/>
    </xf>
    <xf numFmtId="0" fontId="4" fillId="0" borderId="0" xfId="0" applyNumberFormat="1" applyFont="1" applyFill="1" applyBorder="1" applyAlignment="1" applyProtection="1">
      <alignment vertical="top"/>
    </xf>
    <xf numFmtId="43" fontId="2" fillId="0" borderId="9" xfId="1" applyFont="1" applyFill="1" applyBorder="1" applyAlignment="1" applyProtection="1">
      <alignment horizontal="center" vertical="center"/>
    </xf>
    <xf numFmtId="43" fontId="0" fillId="0" borderId="0" xfId="0" applyNumberFormat="1"/>
    <xf numFmtId="0" fontId="5" fillId="0" borderId="9" xfId="0" applyNumberFormat="1" applyFont="1" applyFill="1" applyBorder="1" applyAlignment="1" applyProtection="1">
      <alignment horizontal="justify" vertical="top"/>
    </xf>
    <xf numFmtId="43" fontId="7" fillId="0" borderId="0" xfId="1" applyFont="1" applyFill="1" applyBorder="1" applyAlignment="1" applyProtection="1">
      <alignment horizontal="center" vertical="center"/>
    </xf>
    <xf numFmtId="0" fontId="8" fillId="0" borderId="0" xfId="0" applyFont="1" applyBorder="1" applyAlignment="1">
      <alignment horizontal="center"/>
    </xf>
    <xf numFmtId="0" fontId="5" fillId="0" borderId="7" xfId="0" applyNumberFormat="1" applyFont="1" applyFill="1" applyBorder="1" applyAlignment="1" applyProtection="1">
      <alignment vertical="top"/>
    </xf>
    <xf numFmtId="0" fontId="0" fillId="0" borderId="0" xfId="0" applyBorder="1"/>
    <xf numFmtId="0" fontId="28" fillId="0" borderId="0" xfId="0" applyFont="1" applyBorder="1" applyAlignment="1">
      <alignment horizontal="left" vertical="top"/>
    </xf>
    <xf numFmtId="0" fontId="29" fillId="0" borderId="25" xfId="0" applyFont="1" applyBorder="1"/>
    <xf numFmtId="0" fontId="30" fillId="0" borderId="26" xfId="0" applyFont="1" applyBorder="1"/>
    <xf numFmtId="0" fontId="0" fillId="0" borderId="26" xfId="0" applyBorder="1"/>
    <xf numFmtId="0" fontId="0" fillId="0" borderId="27" xfId="0" applyBorder="1"/>
    <xf numFmtId="49" fontId="31" fillId="0" borderId="28" xfId="0" applyNumberFormat="1" applyFont="1" applyBorder="1" applyAlignment="1">
      <alignment horizontal="left"/>
    </xf>
    <xf numFmtId="49" fontId="30" fillId="0" borderId="35" xfId="0" applyNumberFormat="1" applyFont="1" applyBorder="1" applyAlignment="1">
      <alignment vertical="top"/>
    </xf>
    <xf numFmtId="0" fontId="31" fillId="0" borderId="36" xfId="0" applyFont="1" applyBorder="1"/>
    <xf numFmtId="0" fontId="27" fillId="0" borderId="36" xfId="0" applyFont="1" applyBorder="1"/>
    <xf numFmtId="0" fontId="31" fillId="0" borderId="37" xfId="0" applyFont="1" applyBorder="1"/>
    <xf numFmtId="0" fontId="36" fillId="0" borderId="0" xfId="0" applyFont="1" applyAlignment="1"/>
    <xf numFmtId="0" fontId="36" fillId="0" borderId="0" xfId="0" applyFont="1" applyAlignment="1">
      <alignment horizontal="centerContinuous"/>
    </xf>
    <xf numFmtId="0" fontId="26" fillId="0" borderId="0" xfId="0" applyFont="1" applyAlignment="1">
      <alignment horizontal="centerContinuous"/>
    </xf>
    <xf numFmtId="0" fontId="0" fillId="0" borderId="0" xfId="0" applyAlignment="1">
      <alignment horizontal="centerContinuous"/>
    </xf>
    <xf numFmtId="0" fontId="27" fillId="0" borderId="9" xfId="0" applyFont="1" applyBorder="1" applyAlignment="1">
      <alignment horizontal="center" vertical="center" wrapText="1"/>
    </xf>
    <xf numFmtId="0" fontId="25" fillId="0" borderId="38" xfId="0" applyFont="1" applyBorder="1" applyAlignment="1">
      <alignment vertical="center"/>
    </xf>
    <xf numFmtId="0" fontId="25" fillId="0" borderId="39" xfId="0" applyFont="1" applyBorder="1" applyAlignment="1">
      <alignment vertical="center"/>
    </xf>
    <xf numFmtId="10" fontId="25" fillId="0" borderId="39" xfId="45" applyNumberFormat="1" applyFont="1" applyFill="1" applyBorder="1" applyAlignment="1">
      <alignment horizontal="center" vertical="center"/>
    </xf>
    <xf numFmtId="4" fontId="25" fillId="0" borderId="39" xfId="0" applyNumberFormat="1" applyFont="1" applyBorder="1" applyAlignment="1">
      <alignment vertical="center"/>
    </xf>
    <xf numFmtId="2" fontId="38" fillId="34" borderId="9" xfId="45" applyNumberFormat="1" applyFont="1" applyFill="1" applyBorder="1" applyAlignment="1">
      <alignment horizontal="center" vertical="center"/>
    </xf>
    <xf numFmtId="2" fontId="25" fillId="34" borderId="9" xfId="45" applyNumberFormat="1" applyFont="1" applyFill="1" applyBorder="1" applyAlignment="1">
      <alignment horizontal="center" vertical="center"/>
    </xf>
    <xf numFmtId="2" fontId="37" fillId="0" borderId="9" xfId="45" applyNumberFormat="1" applyFont="1" applyFill="1" applyBorder="1" applyAlignment="1">
      <alignment horizontal="center" vertical="center"/>
    </xf>
    <xf numFmtId="0" fontId="25" fillId="0" borderId="41" xfId="0" applyFont="1" applyBorder="1" applyAlignment="1">
      <alignment vertical="center"/>
    </xf>
    <xf numFmtId="0" fontId="25" fillId="0" borderId="42" xfId="0" applyFont="1" applyBorder="1" applyAlignment="1">
      <alignment vertical="center"/>
    </xf>
    <xf numFmtId="0" fontId="25" fillId="0" borderId="36" xfId="0" applyFont="1" applyBorder="1" applyAlignment="1">
      <alignment vertical="center"/>
    </xf>
    <xf numFmtId="10" fontId="25" fillId="0" borderId="36" xfId="45" applyNumberFormat="1" applyFont="1" applyFill="1" applyBorder="1" applyAlignment="1">
      <alignment horizontal="center" vertical="center"/>
    </xf>
    <xf numFmtId="4" fontId="25" fillId="0" borderId="36" xfId="0" applyNumberFormat="1" applyFont="1" applyBorder="1" applyAlignment="1">
      <alignment vertical="center"/>
    </xf>
    <xf numFmtId="4" fontId="25" fillId="0" borderId="40" xfId="0" applyNumberFormat="1" applyFont="1" applyBorder="1" applyAlignment="1">
      <alignment vertical="center"/>
    </xf>
    <xf numFmtId="2" fontId="39" fillId="34" borderId="9" xfId="45" applyNumberFormat="1" applyFont="1" applyFill="1" applyBorder="1" applyAlignment="1">
      <alignment horizontal="center" vertical="center"/>
    </xf>
    <xf numFmtId="0" fontId="40" fillId="0" borderId="43" xfId="0" applyFont="1" applyBorder="1"/>
    <xf numFmtId="0" fontId="31" fillId="0" borderId="43" xfId="0" applyFont="1" applyBorder="1"/>
    <xf numFmtId="0" fontId="27" fillId="0" borderId="43" xfId="0" applyFont="1" applyBorder="1"/>
    <xf numFmtId="0" fontId="27" fillId="0" borderId="43" xfId="0" applyFont="1" applyBorder="1" applyAlignment="1">
      <alignment horizontal="center" vertical="center" wrapText="1"/>
    </xf>
    <xf numFmtId="2" fontId="40" fillId="0" borderId="43" xfId="0" applyNumberFormat="1" applyFont="1" applyBorder="1" applyAlignment="1">
      <alignment horizontal="center" vertical="center"/>
    </xf>
    <xf numFmtId="0" fontId="0" fillId="0" borderId="7" xfId="0" applyBorder="1"/>
    <xf numFmtId="0" fontId="30" fillId="0" borderId="0" xfId="0" applyFont="1" applyBorder="1" applyAlignment="1">
      <alignment horizontal="right" vertical="center"/>
    </xf>
    <xf numFmtId="49" fontId="42" fillId="0" borderId="0" xfId="0" applyNumberFormat="1" applyFont="1" applyBorder="1" applyAlignment="1">
      <alignment horizontal="center" vertical="center"/>
    </xf>
    <xf numFmtId="0" fontId="0" fillId="0" borderId="0" xfId="0" applyBorder="1" applyAlignment="1">
      <alignment horizontal="center" vertical="center"/>
    </xf>
    <xf numFmtId="0" fontId="27" fillId="0" borderId="0" xfId="0" applyFont="1" applyFill="1" applyBorder="1"/>
    <xf numFmtId="0" fontId="30" fillId="0" borderId="0" xfId="0" applyFont="1"/>
    <xf numFmtId="0" fontId="6" fillId="0" borderId="0" xfId="0" applyFont="1" applyAlignment="1">
      <alignment horizontal="left"/>
    </xf>
    <xf numFmtId="0" fontId="44" fillId="0" borderId="0" xfId="0" applyFont="1" applyBorder="1" applyAlignment="1">
      <alignment horizontal="center"/>
    </xf>
    <xf numFmtId="0" fontId="45" fillId="0" borderId="0" xfId="0" applyFont="1" applyBorder="1" applyAlignment="1">
      <alignment vertical="top"/>
    </xf>
    <xf numFmtId="0" fontId="45" fillId="0" borderId="0" xfId="0" applyFont="1" applyBorder="1"/>
    <xf numFmtId="0" fontId="0" fillId="0" borderId="0" xfId="0" applyBorder="1" applyAlignment="1"/>
    <xf numFmtId="0" fontId="46" fillId="0" borderId="0" xfId="0" applyFont="1" applyBorder="1"/>
    <xf numFmtId="0" fontId="46" fillId="0" borderId="51" xfId="0" applyFont="1" applyBorder="1"/>
    <xf numFmtId="0" fontId="46" fillId="0" borderId="52" xfId="0" applyFont="1" applyBorder="1"/>
    <xf numFmtId="0" fontId="46" fillId="0" borderId="53" xfId="0" applyFont="1" applyBorder="1" applyAlignment="1">
      <alignment horizontal="center" textRotation="90"/>
    </xf>
    <xf numFmtId="0" fontId="46" fillId="0" borderId="51" xfId="0" applyFont="1" applyBorder="1" applyAlignment="1">
      <alignment horizontal="center" textRotation="90"/>
    </xf>
    <xf numFmtId="0" fontId="46" fillId="0" borderId="43" xfId="0" applyFont="1" applyBorder="1" applyAlignment="1">
      <alignment horizontal="center" textRotation="90"/>
    </xf>
    <xf numFmtId="0" fontId="46" fillId="0" borderId="54" xfId="0" quotePrefix="1" applyFont="1" applyBorder="1" applyAlignment="1">
      <alignment horizontal="centerContinuous"/>
    </xf>
    <xf numFmtId="0" fontId="46" fillId="0" borderId="55" xfId="0" applyFont="1" applyBorder="1" applyAlignment="1">
      <alignment horizontal="centerContinuous"/>
    </xf>
    <xf numFmtId="0" fontId="46" fillId="0" borderId="56" xfId="0" applyFont="1" applyBorder="1" applyAlignment="1">
      <alignment horizontal="center" textRotation="90"/>
    </xf>
    <xf numFmtId="0" fontId="46" fillId="0" borderId="54" xfId="0" applyFont="1" applyBorder="1" applyAlignment="1">
      <alignment horizontal="center" textRotation="90"/>
    </xf>
    <xf numFmtId="0" fontId="46" fillId="0" borderId="0" xfId="0" applyFont="1" applyBorder="1" applyAlignment="1">
      <alignment horizontal="center" textRotation="90"/>
    </xf>
    <xf numFmtId="0" fontId="46" fillId="0" borderId="55" xfId="0" applyFont="1" applyBorder="1" applyAlignment="1">
      <alignment horizontal="center" textRotation="90"/>
    </xf>
    <xf numFmtId="0" fontId="46" fillId="0" borderId="0" xfId="0" applyFont="1" applyBorder="1" applyAlignment="1">
      <alignment horizontal="centerContinuous"/>
    </xf>
    <xf numFmtId="0" fontId="46" fillId="0" borderId="54" xfId="0" applyFont="1" applyBorder="1" applyAlignment="1">
      <alignment horizontal="centerContinuous"/>
    </xf>
    <xf numFmtId="0" fontId="46" fillId="0" borderId="57" xfId="0" applyFont="1" applyBorder="1" applyAlignment="1">
      <alignment horizontal="centerContinuous"/>
    </xf>
    <xf numFmtId="0" fontId="46" fillId="0" borderId="58" xfId="0" applyFont="1" applyBorder="1" applyAlignment="1">
      <alignment horizontal="centerContinuous"/>
    </xf>
    <xf numFmtId="0" fontId="46" fillId="0" borderId="56" xfId="0" applyFont="1" applyBorder="1" applyAlignment="1">
      <alignment horizontal="center"/>
    </xf>
    <xf numFmtId="0" fontId="46" fillId="0" borderId="57" xfId="0" applyFont="1" applyBorder="1"/>
    <xf numFmtId="0" fontId="46" fillId="0" borderId="58" xfId="0" applyFont="1" applyBorder="1"/>
    <xf numFmtId="0" fontId="46" fillId="0" borderId="56" xfId="0" applyFont="1" applyBorder="1" applyAlignment="1">
      <alignment horizontal="center" wrapText="1"/>
    </xf>
    <xf numFmtId="0" fontId="46" fillId="0" borderId="56" xfId="0" applyFont="1" applyBorder="1" applyAlignment="1">
      <alignment horizontal="center" vertical="center" textRotation="90"/>
    </xf>
    <xf numFmtId="0" fontId="46" fillId="0" borderId="54" xfId="0" applyFont="1" applyBorder="1" applyAlignment="1">
      <alignment horizontal="center" vertical="center" textRotation="90"/>
    </xf>
    <xf numFmtId="0" fontId="46" fillId="0" borderId="0" xfId="0" applyFont="1" applyBorder="1" applyAlignment="1">
      <alignment horizontal="center" vertical="center" textRotation="90"/>
    </xf>
    <xf numFmtId="0" fontId="46" fillId="0" borderId="55" xfId="0" applyFont="1" applyBorder="1" applyAlignment="1">
      <alignment horizontal="center" vertical="center" textRotation="90"/>
    </xf>
    <xf numFmtId="0" fontId="46" fillId="0" borderId="10" xfId="0" applyFont="1" applyBorder="1"/>
    <xf numFmtId="0" fontId="46" fillId="0" borderId="10" xfId="0" applyFont="1" applyBorder="1" applyAlignment="1">
      <alignment horizontal="center" vertical="center" textRotation="90"/>
    </xf>
    <xf numFmtId="0" fontId="46" fillId="0" borderId="57" xfId="0" applyFont="1" applyBorder="1" applyAlignment="1">
      <alignment horizontal="center" vertical="center" textRotation="90"/>
    </xf>
    <xf numFmtId="0" fontId="46" fillId="0" borderId="59" xfId="0" applyFont="1" applyBorder="1" applyAlignment="1">
      <alignment horizontal="center" vertical="center" textRotation="90"/>
    </xf>
    <xf numFmtId="0" fontId="46" fillId="0" borderId="58" xfId="0" applyFont="1" applyBorder="1" applyAlignment="1">
      <alignment horizontal="center" vertical="center" textRotation="90"/>
    </xf>
    <xf numFmtId="0" fontId="46" fillId="0" borderId="9" xfId="0" applyFont="1" applyBorder="1" applyAlignment="1">
      <alignment horizontal="center"/>
    </xf>
    <xf numFmtId="14" fontId="46" fillId="0" borderId="39" xfId="0" applyNumberFormat="1" applyFont="1" applyBorder="1" applyAlignment="1">
      <alignment horizontal="center"/>
    </xf>
    <xf numFmtId="0" fontId="46" fillId="0" borderId="39" xfId="0" applyFont="1" applyBorder="1" applyAlignment="1">
      <alignment horizontal="center"/>
    </xf>
    <xf numFmtId="40" fontId="46" fillId="0" borderId="9" xfId="0" applyNumberFormat="1" applyFont="1" applyBorder="1" applyAlignment="1">
      <alignment horizontal="center"/>
    </xf>
    <xf numFmtId="40" fontId="46" fillId="0" borderId="9" xfId="0" applyNumberFormat="1" applyFont="1" applyBorder="1" applyAlignment="1">
      <alignment horizontal="right"/>
    </xf>
    <xf numFmtId="10" fontId="46" fillId="0" borderId="9" xfId="46" applyNumberFormat="1" applyFont="1" applyBorder="1" applyAlignment="1">
      <alignment horizontal="center"/>
    </xf>
    <xf numFmtId="0" fontId="46" fillId="0" borderId="53" xfId="0" applyFont="1" applyBorder="1" applyAlignment="1">
      <alignment horizontal="center"/>
    </xf>
    <xf numFmtId="0" fontId="0" fillId="0" borderId="9" xfId="0" applyBorder="1" applyAlignment="1">
      <alignment horizontal="center"/>
    </xf>
    <xf numFmtId="14" fontId="0" fillId="0" borderId="39" xfId="0" applyNumberFormat="1" applyBorder="1" applyAlignment="1">
      <alignment horizontal="center"/>
    </xf>
    <xf numFmtId="0" fontId="0" fillId="0" borderId="39" xfId="0" applyBorder="1" applyAlignment="1">
      <alignment horizontal="center"/>
    </xf>
    <xf numFmtId="40" fontId="0" fillId="0" borderId="9" xfId="0" applyNumberFormat="1" applyBorder="1" applyAlignment="1">
      <alignment horizontal="right"/>
    </xf>
    <xf numFmtId="4" fontId="0" fillId="0" borderId="0" xfId="0" applyNumberFormat="1"/>
    <xf numFmtId="0" fontId="3" fillId="0" borderId="2" xfId="0" applyNumberFormat="1" applyFont="1" applyFill="1" applyBorder="1" applyAlignment="1" applyProtection="1">
      <alignment vertical="top"/>
    </xf>
    <xf numFmtId="0" fontId="47" fillId="0" borderId="0" xfId="0" applyNumberFormat="1" applyFont="1" applyFill="1" applyBorder="1" applyAlignment="1" applyProtection="1">
      <alignment vertical="top"/>
    </xf>
    <xf numFmtId="0" fontId="3" fillId="0" borderId="4" xfId="0" applyNumberFormat="1" applyFont="1" applyFill="1" applyBorder="1" applyAlignment="1" applyProtection="1">
      <alignment vertical="top"/>
    </xf>
    <xf numFmtId="0" fontId="3" fillId="0" borderId="6" xfId="0" applyNumberFormat="1" applyFont="1" applyFill="1" applyBorder="1" applyAlignment="1" applyProtection="1">
      <alignment horizontal="left" vertical="top"/>
    </xf>
    <xf numFmtId="0" fontId="3" fillId="0" borderId="7" xfId="0" applyNumberFormat="1" applyFont="1" applyFill="1" applyBorder="1" applyAlignment="1" applyProtection="1">
      <alignment horizontal="left" vertical="top"/>
    </xf>
    <xf numFmtId="43" fontId="2" fillId="0" borderId="24" xfId="1" applyFont="1" applyFill="1" applyBorder="1" applyAlignment="1" applyProtection="1">
      <alignment horizontal="center" vertical="center"/>
    </xf>
    <xf numFmtId="0" fontId="2" fillId="0" borderId="23" xfId="0" applyNumberFormat="1" applyFont="1" applyFill="1" applyBorder="1" applyAlignment="1" applyProtection="1">
      <alignment horizontal="center" vertical="center"/>
    </xf>
    <xf numFmtId="49" fontId="30" fillId="0" borderId="0" xfId="0" applyNumberFormat="1" applyFont="1" applyBorder="1" applyAlignment="1">
      <alignment horizontal="left" vertical="center"/>
    </xf>
    <xf numFmtId="0" fontId="3" fillId="0" borderId="0" xfId="0" applyFont="1" applyAlignment="1">
      <alignment horizontal="center"/>
    </xf>
    <xf numFmtId="0" fontId="49" fillId="0" borderId="0" xfId="0" applyFont="1"/>
    <xf numFmtId="0" fontId="3" fillId="0" borderId="0" xfId="0" applyFont="1" applyBorder="1" applyAlignment="1">
      <alignment horizontal="center"/>
    </xf>
    <xf numFmtId="0" fontId="2" fillId="0" borderId="0" xfId="0" applyNumberFormat="1" applyFont="1" applyFill="1" applyBorder="1" applyAlignment="1" applyProtection="1">
      <alignment horizontal="center" vertical="center"/>
    </xf>
    <xf numFmtId="43" fontId="2" fillId="0" borderId="0" xfId="1" applyFont="1" applyFill="1" applyBorder="1" applyAlignment="1" applyProtection="1">
      <alignment horizontal="center" vertical="center"/>
    </xf>
    <xf numFmtId="13" fontId="2" fillId="0" borderId="0" xfId="1" applyNumberFormat="1" applyFont="1" applyFill="1" applyBorder="1" applyAlignment="1" applyProtection="1">
      <alignment horizontal="center" vertical="center"/>
    </xf>
    <xf numFmtId="0" fontId="2" fillId="0" borderId="0" xfId="0" applyNumberFormat="1" applyFont="1" applyFill="1" applyBorder="1" applyAlignment="1" applyProtection="1">
      <alignment horizontal="justify" vertical="top" wrapText="1"/>
    </xf>
    <xf numFmtId="0" fontId="2" fillId="0" borderId="0" xfId="0" applyFont="1" applyAlignment="1">
      <alignment horizontal="justify" vertical="top" wrapText="1"/>
    </xf>
    <xf numFmtId="0" fontId="3" fillId="0" borderId="0" xfId="0" applyFont="1" applyBorder="1" applyAlignment="1">
      <alignment horizontal="justify" vertical="top" wrapText="1"/>
    </xf>
    <xf numFmtId="0" fontId="5" fillId="0" borderId="0" xfId="0" applyNumberFormat="1" applyFont="1" applyFill="1" applyBorder="1" applyAlignment="1" applyProtection="1">
      <alignment horizontal="justify" vertical="top" wrapText="1"/>
    </xf>
    <xf numFmtId="0" fontId="49" fillId="0" borderId="0" xfId="0" applyFont="1" applyAlignment="1">
      <alignment horizontal="justify" vertical="top" wrapText="1"/>
    </xf>
    <xf numFmtId="0" fontId="3" fillId="2" borderId="60" xfId="0" applyNumberFormat="1" applyFont="1" applyFill="1" applyBorder="1" applyAlignment="1" applyProtection="1">
      <alignment vertical="center"/>
    </xf>
    <xf numFmtId="0" fontId="3" fillId="2" borderId="39" xfId="0" applyNumberFormat="1" applyFont="1" applyFill="1" applyBorder="1" applyAlignment="1" applyProtection="1">
      <alignment vertical="center"/>
    </xf>
    <xf numFmtId="0" fontId="3" fillId="2" borderId="39" xfId="0" applyNumberFormat="1" applyFont="1" applyFill="1" applyBorder="1" applyAlignment="1" applyProtection="1">
      <alignment horizontal="center" vertical="center"/>
    </xf>
    <xf numFmtId="43" fontId="3" fillId="2" borderId="61" xfId="0" applyNumberFormat="1" applyFont="1" applyFill="1" applyBorder="1" applyAlignment="1" applyProtection="1">
      <alignment vertical="center"/>
    </xf>
    <xf numFmtId="0" fontId="2" fillId="0" borderId="3" xfId="0" applyNumberFormat="1" applyFont="1" applyFill="1" applyBorder="1" applyAlignment="1" applyProtection="1">
      <alignment vertical="top"/>
    </xf>
    <xf numFmtId="0" fontId="2" fillId="0" borderId="5" xfId="0" applyNumberFormat="1" applyFont="1" applyFill="1" applyBorder="1" applyAlignment="1" applyProtection="1">
      <alignment vertical="top"/>
    </xf>
    <xf numFmtId="10" fontId="3" fillId="2" borderId="61" xfId="46" applyNumberFormat="1" applyFont="1" applyFill="1" applyBorder="1" applyAlignment="1" applyProtection="1">
      <alignment vertical="center"/>
    </xf>
    <xf numFmtId="10" fontId="2" fillId="0" borderId="24" xfId="46" applyNumberFormat="1" applyFont="1" applyFill="1" applyBorder="1" applyAlignment="1" applyProtection="1">
      <alignment horizontal="center" vertical="center"/>
    </xf>
    <xf numFmtId="40" fontId="4" fillId="0" borderId="0" xfId="0" applyNumberFormat="1" applyFont="1" applyFill="1" applyBorder="1" applyAlignment="1" applyProtection="1">
      <alignment vertical="top"/>
    </xf>
    <xf numFmtId="43" fontId="3" fillId="0" borderId="61" xfId="0" applyNumberFormat="1" applyFont="1" applyFill="1" applyBorder="1" applyAlignment="1" applyProtection="1">
      <alignment vertical="center"/>
    </xf>
    <xf numFmtId="10" fontId="3" fillId="0" borderId="61" xfId="46" applyNumberFormat="1" applyFont="1" applyFill="1" applyBorder="1" applyAlignment="1" applyProtection="1">
      <alignment vertical="center"/>
    </xf>
    <xf numFmtId="10" fontId="2" fillId="36" borderId="24" xfId="46" applyNumberFormat="1" applyFont="1" applyFill="1" applyBorder="1" applyAlignment="1" applyProtection="1">
      <alignment horizontal="center" vertical="center"/>
    </xf>
    <xf numFmtId="164" fontId="4" fillId="0" borderId="0" xfId="0" applyNumberFormat="1" applyFont="1" applyFill="1" applyBorder="1" applyAlignment="1" applyProtection="1">
      <alignment vertical="top"/>
    </xf>
    <xf numFmtId="0" fontId="48" fillId="0" borderId="0" xfId="0" applyNumberFormat="1" applyFont="1" applyFill="1" applyBorder="1" applyAlignment="1" applyProtection="1">
      <alignment horizontal="center" vertical="top" wrapText="1"/>
    </xf>
    <xf numFmtId="0" fontId="48" fillId="0" borderId="5" xfId="0" applyNumberFormat="1" applyFont="1" applyFill="1" applyBorder="1" applyAlignment="1" applyProtection="1">
      <alignment horizontal="center" vertical="top" wrapText="1"/>
    </xf>
    <xf numFmtId="0" fontId="48" fillId="0" borderId="0" xfId="0" applyNumberFormat="1" applyFont="1" applyFill="1" applyBorder="1" applyAlignment="1" applyProtection="1">
      <alignment horizontal="center" vertical="top" wrapText="1"/>
    </xf>
    <xf numFmtId="0" fontId="48" fillId="0" borderId="5" xfId="0" applyNumberFormat="1" applyFont="1" applyFill="1" applyBorder="1" applyAlignment="1" applyProtection="1">
      <alignment horizontal="center" vertical="top" wrapText="1"/>
    </xf>
    <xf numFmtId="0" fontId="3" fillId="0" borderId="7" xfId="0" applyNumberFormat="1" applyFont="1" applyFill="1" applyBorder="1" applyAlignment="1" applyProtection="1">
      <alignment horizontal="right" vertical="top"/>
    </xf>
    <xf numFmtId="0" fontId="3" fillId="0" borderId="8" xfId="0" applyNumberFormat="1" applyFont="1" applyFill="1" applyBorder="1" applyAlignment="1" applyProtection="1">
      <alignment horizontal="right" vertical="top"/>
    </xf>
    <xf numFmtId="0" fontId="3" fillId="0" borderId="0" xfId="0" applyNumberFormat="1" applyFont="1" applyFill="1" applyBorder="1" applyAlignment="1" applyProtection="1">
      <alignment horizontal="center" vertical="top"/>
    </xf>
    <xf numFmtId="0" fontId="3" fillId="0" borderId="5" xfId="0" applyNumberFormat="1" applyFont="1" applyFill="1" applyBorder="1" applyAlignment="1" applyProtection="1">
      <alignment horizontal="center" vertical="top"/>
    </xf>
    <xf numFmtId="0" fontId="3" fillId="2" borderId="21" xfId="0" applyNumberFormat="1" applyFont="1" applyFill="1" applyBorder="1" applyAlignment="1" applyProtection="1">
      <alignment horizontal="center" vertical="center"/>
    </xf>
    <xf numFmtId="0" fontId="3" fillId="2" borderId="23" xfId="0" applyNumberFormat="1" applyFont="1" applyFill="1" applyBorder="1" applyAlignment="1" applyProtection="1">
      <alignment horizontal="center" vertical="center"/>
    </xf>
    <xf numFmtId="0" fontId="3" fillId="2" borderId="20" xfId="0" applyNumberFormat="1" applyFont="1" applyFill="1" applyBorder="1" applyAlignment="1" applyProtection="1">
      <alignment horizontal="center" vertical="center"/>
    </xf>
    <xf numFmtId="0" fontId="3" fillId="2" borderId="10" xfId="0" applyNumberFormat="1" applyFont="1" applyFill="1" applyBorder="1" applyAlignment="1" applyProtection="1">
      <alignment horizontal="center" vertical="center"/>
    </xf>
    <xf numFmtId="0" fontId="3" fillId="2" borderId="20" xfId="0" applyNumberFormat="1" applyFont="1" applyFill="1" applyBorder="1" applyAlignment="1" applyProtection="1">
      <alignment horizontal="center" vertical="center" wrapText="1"/>
    </xf>
    <xf numFmtId="0" fontId="3" fillId="2" borderId="10" xfId="0" applyNumberFormat="1" applyFont="1" applyFill="1" applyBorder="1" applyAlignment="1" applyProtection="1">
      <alignment horizontal="center" vertical="center" wrapText="1"/>
    </xf>
    <xf numFmtId="0" fontId="3" fillId="2" borderId="22" xfId="0" applyNumberFormat="1" applyFont="1" applyFill="1" applyBorder="1" applyAlignment="1" applyProtection="1">
      <alignment horizontal="center" vertical="center" wrapText="1"/>
    </xf>
    <xf numFmtId="0" fontId="3" fillId="2" borderId="24" xfId="0" applyNumberFormat="1" applyFont="1" applyFill="1" applyBorder="1" applyAlignment="1" applyProtection="1">
      <alignment horizontal="center" vertical="center" wrapText="1"/>
    </xf>
    <xf numFmtId="0" fontId="3" fillId="0" borderId="0" xfId="0" applyFont="1" applyAlignment="1">
      <alignment horizontal="center"/>
    </xf>
    <xf numFmtId="0" fontId="6" fillId="0" borderId="0" xfId="0" applyFont="1" applyAlignment="1">
      <alignment horizontal="left"/>
    </xf>
    <xf numFmtId="0" fontId="8" fillId="0" borderId="0" xfId="0" applyFont="1" applyAlignment="1">
      <alignment horizontal="center"/>
    </xf>
    <xf numFmtId="0" fontId="30" fillId="0" borderId="0" xfId="0" applyFont="1" applyBorder="1" applyAlignment="1">
      <alignment vertical="center"/>
    </xf>
    <xf numFmtId="10" fontId="30" fillId="34" borderId="47" xfId="0" applyNumberFormat="1" applyFont="1" applyFill="1" applyBorder="1" applyAlignment="1">
      <alignment horizontal="center" vertical="center"/>
    </xf>
    <xf numFmtId="10" fontId="30" fillId="34" borderId="50" xfId="0" applyNumberFormat="1" applyFont="1" applyFill="1" applyBorder="1" applyAlignment="1">
      <alignment horizontal="center" vertical="center"/>
    </xf>
    <xf numFmtId="0" fontId="30" fillId="34" borderId="45" xfId="0" applyFont="1" applyFill="1" applyBorder="1" applyAlignment="1">
      <alignment horizontal="center" vertical="center"/>
    </xf>
    <xf numFmtId="0" fontId="30" fillId="34" borderId="46" xfId="0" applyFont="1" applyFill="1" applyBorder="1" applyAlignment="1">
      <alignment horizontal="center" vertical="center"/>
    </xf>
    <xf numFmtId="0" fontId="30" fillId="34" borderId="48" xfId="0" applyFont="1" applyFill="1" applyBorder="1" applyAlignment="1">
      <alignment horizontal="center" vertical="center"/>
    </xf>
    <xf numFmtId="0" fontId="30" fillId="34" borderId="49" xfId="0" applyFont="1" applyFill="1" applyBorder="1" applyAlignment="1">
      <alignment horizontal="center" vertical="center"/>
    </xf>
    <xf numFmtId="0" fontId="37" fillId="2" borderId="38" xfId="0" applyFont="1" applyFill="1" applyBorder="1" applyAlignment="1">
      <alignment horizontal="left" vertical="center"/>
    </xf>
    <xf numFmtId="0" fontId="37" fillId="2" borderId="39" xfId="0" applyFont="1" applyFill="1" applyBorder="1" applyAlignment="1">
      <alignment horizontal="left" vertical="center"/>
    </xf>
    <xf numFmtId="0" fontId="37" fillId="2" borderId="40" xfId="0" applyFont="1" applyFill="1" applyBorder="1" applyAlignment="1">
      <alignment horizontal="left" vertical="center"/>
    </xf>
    <xf numFmtId="0" fontId="27" fillId="0" borderId="38" xfId="0" applyFont="1" applyBorder="1" applyAlignment="1">
      <alignment horizontal="center" vertical="center" wrapText="1"/>
    </xf>
    <xf numFmtId="0" fontId="27" fillId="0" borderId="39" xfId="0" applyFont="1" applyBorder="1" applyAlignment="1">
      <alignment horizontal="center" vertical="center" wrapText="1"/>
    </xf>
    <xf numFmtId="0" fontId="27" fillId="0" borderId="40" xfId="0" applyFont="1" applyBorder="1" applyAlignment="1">
      <alignment horizontal="center" vertical="center" wrapText="1"/>
    </xf>
    <xf numFmtId="0" fontId="37" fillId="35" borderId="38" xfId="0" applyFont="1" applyFill="1" applyBorder="1" applyAlignment="1">
      <alignment horizontal="right" vertical="center"/>
    </xf>
    <xf numFmtId="0" fontId="37" fillId="35" borderId="39" xfId="0" applyFont="1" applyFill="1" applyBorder="1" applyAlignment="1">
      <alignment horizontal="right" vertical="center"/>
    </xf>
    <xf numFmtId="0" fontId="37" fillId="35" borderId="40" xfId="0" applyFont="1" applyFill="1" applyBorder="1" applyAlignment="1">
      <alignment horizontal="right" vertical="center"/>
    </xf>
    <xf numFmtId="0" fontId="37" fillId="0" borderId="0" xfId="0" applyFont="1" applyFill="1" applyBorder="1" applyAlignment="1">
      <alignment horizontal="left"/>
    </xf>
    <xf numFmtId="0" fontId="30" fillId="0" borderId="1" xfId="0" applyFont="1" applyBorder="1" applyAlignment="1">
      <alignment horizontal="right" vertical="center"/>
    </xf>
    <xf numFmtId="0" fontId="30" fillId="0" borderId="4" xfId="0" applyFont="1" applyBorder="1" applyAlignment="1">
      <alignment horizontal="right" vertical="center"/>
    </xf>
    <xf numFmtId="0" fontId="30" fillId="0" borderId="6" xfId="0" applyFont="1" applyBorder="1" applyAlignment="1">
      <alignment horizontal="right" vertical="center"/>
    </xf>
    <xf numFmtId="0" fontId="30" fillId="0" borderId="44" xfId="0" applyFont="1" applyBorder="1" applyAlignment="1">
      <alignment horizontal="center"/>
    </xf>
    <xf numFmtId="49" fontId="30" fillId="0" borderId="2" xfId="0" applyNumberFormat="1" applyFont="1" applyBorder="1" applyAlignment="1">
      <alignment horizontal="left" vertical="center"/>
    </xf>
    <xf numFmtId="49" fontId="30" fillId="0" borderId="0" xfId="0" applyNumberFormat="1" applyFont="1" applyBorder="1" applyAlignment="1">
      <alignment horizontal="left" vertical="center"/>
    </xf>
    <xf numFmtId="49" fontId="30" fillId="0" borderId="7" xfId="0" applyNumberFormat="1" applyFont="1" applyBorder="1" applyAlignment="1">
      <alignment horizontal="left" vertical="center"/>
    </xf>
    <xf numFmtId="0" fontId="41" fillId="0" borderId="3" xfId="0" applyFont="1" applyFill="1" applyBorder="1" applyAlignment="1">
      <alignment horizontal="center" vertical="center"/>
    </xf>
    <xf numFmtId="0" fontId="27" fillId="0" borderId="5" xfId="0" applyFont="1" applyFill="1" applyBorder="1" applyAlignment="1">
      <alignment horizontal="center" vertical="center"/>
    </xf>
    <xf numFmtId="0" fontId="27" fillId="0" borderId="8" xfId="0" applyFont="1" applyFill="1" applyBorder="1" applyAlignment="1">
      <alignment horizontal="center" vertical="center"/>
    </xf>
    <xf numFmtId="49" fontId="42" fillId="0" borderId="2" xfId="0" applyNumberFormat="1" applyFont="1" applyBorder="1" applyAlignment="1">
      <alignment horizontal="center" vertical="center"/>
    </xf>
    <xf numFmtId="49" fontId="42" fillId="0" borderId="7" xfId="0" applyNumberFormat="1" applyFont="1" applyBorder="1" applyAlignment="1">
      <alignment horizontal="center" vertical="center"/>
    </xf>
    <xf numFmtId="49" fontId="30" fillId="0" borderId="2" xfId="0" applyNumberFormat="1" applyFont="1" applyBorder="1" applyAlignment="1">
      <alignment horizontal="center" vertical="center"/>
    </xf>
    <xf numFmtId="0" fontId="0" fillId="0" borderId="2" xfId="0" applyBorder="1" applyAlignment="1">
      <alignment horizontal="center" vertical="center"/>
    </xf>
    <xf numFmtId="0" fontId="0" fillId="0" borderId="7" xfId="0" applyBorder="1" applyAlignment="1">
      <alignment horizontal="center" vertical="center"/>
    </xf>
    <xf numFmtId="49" fontId="32" fillId="0" borderId="29" xfId="0" applyNumberFormat="1" applyFont="1" applyBorder="1" applyAlignment="1">
      <alignment vertical="center"/>
    </xf>
    <xf numFmtId="49" fontId="33" fillId="0" borderId="30" xfId="0" applyNumberFormat="1" applyFont="1" applyBorder="1" applyAlignment="1">
      <alignment vertical="center"/>
    </xf>
    <xf numFmtId="49" fontId="33" fillId="0" borderId="31" xfId="0" applyNumberFormat="1" applyFont="1" applyBorder="1" applyAlignment="1">
      <alignment vertical="center"/>
    </xf>
    <xf numFmtId="49" fontId="33" fillId="0" borderId="32" xfId="0" applyNumberFormat="1" applyFont="1" applyBorder="1" applyAlignment="1">
      <alignment vertical="center"/>
    </xf>
    <xf numFmtId="49" fontId="33" fillId="0" borderId="33" xfId="0" applyNumberFormat="1" applyFont="1" applyBorder="1" applyAlignment="1">
      <alignment vertical="center"/>
    </xf>
    <xf numFmtId="49" fontId="33" fillId="0" borderId="34" xfId="0" applyNumberFormat="1" applyFont="1" applyBorder="1" applyAlignment="1">
      <alignment vertical="center"/>
    </xf>
    <xf numFmtId="0" fontId="25" fillId="0" borderId="38" xfId="0" applyFont="1" applyBorder="1" applyAlignment="1">
      <alignment horizontal="left" vertical="center"/>
    </xf>
    <xf numFmtId="0" fontId="25" fillId="0" borderId="39" xfId="0" applyFont="1" applyBorder="1" applyAlignment="1">
      <alignment horizontal="left" vertical="center"/>
    </xf>
    <xf numFmtId="0" fontId="25" fillId="0" borderId="40" xfId="0" applyFont="1" applyBorder="1" applyAlignment="1">
      <alignment horizontal="left" vertical="center"/>
    </xf>
    <xf numFmtId="0" fontId="44" fillId="0" borderId="0" xfId="0" applyFont="1" applyBorder="1" applyAlignment="1">
      <alignment horizontal="center"/>
    </xf>
    <xf numFmtId="0" fontId="6" fillId="0" borderId="0" xfId="0" applyFont="1" applyAlignment="1">
      <alignment horizontal="center" wrapText="1"/>
    </xf>
    <xf numFmtId="0" fontId="3" fillId="0" borderId="4" xfId="0" applyNumberFormat="1" applyFont="1" applyFill="1" applyBorder="1" applyAlignment="1" applyProtection="1">
      <alignment horizontal="center" vertical="top"/>
    </xf>
    <xf numFmtId="0" fontId="34" fillId="0" borderId="0" xfId="0" applyFont="1" applyAlignment="1">
      <alignment horizontal="center" vertical="center" wrapText="1"/>
    </xf>
  </cellXfs>
  <cellStyles count="47">
    <cellStyle name="20% - Ênfase1" xfId="20" builtinId="30" customBuiltin="1"/>
    <cellStyle name="20% - Ênfase2" xfId="24" builtinId="34" customBuiltin="1"/>
    <cellStyle name="20% - Ênfase3" xfId="28" builtinId="38" customBuiltin="1"/>
    <cellStyle name="20% - Ênfase4" xfId="32" builtinId="42" customBuiltin="1"/>
    <cellStyle name="20% - Ênfase5" xfId="36" builtinId="46" customBuiltin="1"/>
    <cellStyle name="20% - Ênfase6" xfId="40" builtinId="50" customBuiltin="1"/>
    <cellStyle name="40% - Ênfase1" xfId="21" builtinId="31" customBuiltin="1"/>
    <cellStyle name="40% - Ênfase2" xfId="25" builtinId="35" customBuiltin="1"/>
    <cellStyle name="40% - Ênfase3" xfId="29" builtinId="39" customBuiltin="1"/>
    <cellStyle name="40% - Ênfase4" xfId="33" builtinId="43" customBuiltin="1"/>
    <cellStyle name="40% - Ênfase5" xfId="37" builtinId="47" customBuiltin="1"/>
    <cellStyle name="40% - Ênfase6" xfId="41" builtinId="51" customBuiltin="1"/>
    <cellStyle name="60% - Ênfase1" xfId="22" builtinId="32" customBuiltin="1"/>
    <cellStyle name="60% - Ênfase2" xfId="26" builtinId="36" customBuiltin="1"/>
    <cellStyle name="60% - Ênfase3" xfId="30" builtinId="40" customBuiltin="1"/>
    <cellStyle name="60% - Ênfase4" xfId="34" builtinId="44" customBuiltin="1"/>
    <cellStyle name="60% - Ênfase5" xfId="38" builtinId="48" customBuiltin="1"/>
    <cellStyle name="60% - Ênfase6" xfId="42" builtinId="52" customBuiltin="1"/>
    <cellStyle name="Bom" xfId="7" builtinId="26" customBuiltin="1"/>
    <cellStyle name="Cálculo" xfId="12" builtinId="22" customBuiltin="1"/>
    <cellStyle name="Célula de Verificação" xfId="14" builtinId="23" customBuiltin="1"/>
    <cellStyle name="Célula Vinculada" xfId="13" builtinId="24" customBuiltin="1"/>
    <cellStyle name="Ênfase1" xfId="19" builtinId="29" customBuiltin="1"/>
    <cellStyle name="Ênfase2" xfId="23" builtinId="33" customBuiltin="1"/>
    <cellStyle name="Ênfase3" xfId="27" builtinId="37" customBuiltin="1"/>
    <cellStyle name="Ênfase4" xfId="31" builtinId="41" customBuiltin="1"/>
    <cellStyle name="Ênfase5" xfId="35" builtinId="45" customBuiltin="1"/>
    <cellStyle name="Ênfase6" xfId="39" builtinId="49" customBuiltin="1"/>
    <cellStyle name="Entrada" xfId="10" builtinId="20" customBuiltin="1"/>
    <cellStyle name="Incorreto" xfId="8" builtinId="27" customBuiltin="1"/>
    <cellStyle name="Neutra" xfId="9" builtinId="28" customBuiltin="1"/>
    <cellStyle name="Normal" xfId="0" builtinId="0"/>
    <cellStyle name="Normal 2" xfId="43"/>
    <cellStyle name="Normal 4" xfId="44"/>
    <cellStyle name="Nota" xfId="16" builtinId="10" customBuiltin="1"/>
    <cellStyle name="Porcentagem" xfId="46" builtinId="5"/>
    <cellStyle name="Porcentagem 2" xfId="45"/>
    <cellStyle name="Saída" xfId="11" builtinId="21" customBuiltin="1"/>
    <cellStyle name="Texto de Aviso" xfId="15" builtinId="11" customBuiltin="1"/>
    <cellStyle name="Texto Explicativo" xfId="17" builtinId="53" customBuiltin="1"/>
    <cellStyle name="Título" xfId="2" builtinId="15" customBuiltin="1"/>
    <cellStyle name="Título 1" xfId="3" builtinId="16" customBuiltin="1"/>
    <cellStyle name="Título 2" xfId="4" builtinId="17" customBuiltin="1"/>
    <cellStyle name="Título 3" xfId="5" builtinId="18" customBuiltin="1"/>
    <cellStyle name="Título 4" xfId="6" builtinId="19" customBuiltin="1"/>
    <cellStyle name="Total" xfId="18" builtinId="25" customBuiltin="1"/>
    <cellStyle name="Vírgula" xfId="1" builtin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2390775</xdr:colOff>
      <xdr:row>3</xdr:row>
      <xdr:rowOff>0</xdr:rowOff>
    </xdr:from>
    <xdr:to>
      <xdr:col>8</xdr:col>
      <xdr:colOff>0</xdr:colOff>
      <xdr:row>3</xdr:row>
      <xdr:rowOff>0</xdr:rowOff>
    </xdr:to>
    <xdr:sp macro="" textlink="">
      <xdr:nvSpPr>
        <xdr:cNvPr id="2" name="Text Box 1"/>
        <xdr:cNvSpPr txBox="1">
          <a:spLocks noChangeArrowheads="1"/>
        </xdr:cNvSpPr>
      </xdr:nvSpPr>
      <xdr:spPr bwMode="auto">
        <a:xfrm>
          <a:off x="3629025" y="571500"/>
          <a:ext cx="2809875" cy="0"/>
        </a:xfrm>
        <a:prstGeom prst="rect">
          <a:avLst/>
        </a:prstGeom>
        <a:noFill/>
        <a:ln w="9525">
          <a:noFill/>
          <a:miter lim="800000"/>
          <a:headEnd/>
          <a:tailEnd/>
        </a:ln>
      </xdr:spPr>
      <xdr:txBody>
        <a:bodyPr vertOverflow="clip" wrap="square" lIns="27432" tIns="22860" rIns="0" bIns="0" anchor="t" upright="1"/>
        <a:lstStyle/>
        <a:p>
          <a:pPr algn="l" rtl="0">
            <a:defRPr sz="1000"/>
          </a:pPr>
          <a:r>
            <a:rPr lang="pt-BR" sz="1000" b="0" i="0" u="none" strike="noStrike" baseline="0">
              <a:solidFill>
                <a:srgbClr val="000000"/>
              </a:solidFill>
              <a:latin typeface="Times New Roman"/>
              <a:cs typeface="Times New Roman"/>
            </a:rPr>
            <a:t>Rachão 0,40m</a:t>
          </a:r>
        </a:p>
      </xdr:txBody>
    </xdr:sp>
    <xdr:clientData/>
  </xdr:twoCellAnchor>
  <xdr:twoCellAnchor>
    <xdr:from>
      <xdr:col>2</xdr:col>
      <xdr:colOff>2390775</xdr:colOff>
      <xdr:row>3</xdr:row>
      <xdr:rowOff>0</xdr:rowOff>
    </xdr:from>
    <xdr:to>
      <xdr:col>8</xdr:col>
      <xdr:colOff>0</xdr:colOff>
      <xdr:row>3</xdr:row>
      <xdr:rowOff>0</xdr:rowOff>
    </xdr:to>
    <xdr:sp macro="" textlink="">
      <xdr:nvSpPr>
        <xdr:cNvPr id="3" name="Text Box 2"/>
        <xdr:cNvSpPr txBox="1">
          <a:spLocks noChangeArrowheads="1"/>
        </xdr:cNvSpPr>
      </xdr:nvSpPr>
      <xdr:spPr bwMode="auto">
        <a:xfrm>
          <a:off x="3629025" y="571500"/>
          <a:ext cx="3124200" cy="0"/>
        </a:xfrm>
        <a:prstGeom prst="rect">
          <a:avLst/>
        </a:prstGeom>
        <a:noFill/>
        <a:ln w="9525">
          <a:noFill/>
          <a:miter lim="800000"/>
          <a:headEnd/>
          <a:tailEnd/>
        </a:ln>
      </xdr:spPr>
      <xdr:txBody>
        <a:bodyPr vertOverflow="clip" wrap="square" lIns="27432" tIns="22860" rIns="0" bIns="0" anchor="t" upright="1"/>
        <a:lstStyle/>
        <a:p>
          <a:pPr algn="l" rtl="0">
            <a:defRPr sz="1000"/>
          </a:pPr>
          <a:r>
            <a:rPr lang="pt-BR" sz="1000" b="0" i="0" u="none" strike="noStrike" baseline="0">
              <a:solidFill>
                <a:srgbClr val="000000"/>
              </a:solidFill>
              <a:latin typeface="Times New Roman"/>
              <a:cs typeface="Times New Roman"/>
            </a:rPr>
            <a:t>Embasamento com pó-de-pedra 0,10m</a:t>
          </a:r>
        </a:p>
      </xdr:txBody>
    </xdr:sp>
    <xdr:clientData/>
  </xdr:twoCellAnchor>
  <xdr:twoCellAnchor>
    <xdr:from>
      <xdr:col>2</xdr:col>
      <xdr:colOff>2381250</xdr:colOff>
      <xdr:row>3</xdr:row>
      <xdr:rowOff>0</xdr:rowOff>
    </xdr:from>
    <xdr:to>
      <xdr:col>8</xdr:col>
      <xdr:colOff>0</xdr:colOff>
      <xdr:row>3</xdr:row>
      <xdr:rowOff>0</xdr:rowOff>
    </xdr:to>
    <xdr:sp macro="" textlink="">
      <xdr:nvSpPr>
        <xdr:cNvPr id="4" name="Text Box 3"/>
        <xdr:cNvSpPr txBox="1">
          <a:spLocks noChangeArrowheads="1"/>
        </xdr:cNvSpPr>
      </xdr:nvSpPr>
      <xdr:spPr bwMode="auto">
        <a:xfrm>
          <a:off x="3619500" y="571500"/>
          <a:ext cx="2809875" cy="0"/>
        </a:xfrm>
        <a:prstGeom prst="rect">
          <a:avLst/>
        </a:prstGeom>
        <a:noFill/>
        <a:ln w="9525">
          <a:noFill/>
          <a:miter lim="800000"/>
          <a:headEnd/>
          <a:tailEnd/>
        </a:ln>
      </xdr:spPr>
      <xdr:txBody>
        <a:bodyPr vertOverflow="clip" wrap="square" lIns="27432" tIns="22860" rIns="0" bIns="0" anchor="t" upright="1"/>
        <a:lstStyle/>
        <a:p>
          <a:pPr algn="l" rtl="0">
            <a:defRPr sz="1000"/>
          </a:pPr>
          <a:r>
            <a:rPr lang="pt-BR" sz="1000" b="0" i="0" u="none" strike="noStrike" baseline="0">
              <a:solidFill>
                <a:srgbClr val="000000"/>
              </a:solidFill>
              <a:latin typeface="Times New Roman"/>
              <a:cs typeface="Times New Roman"/>
            </a:rPr>
            <a:t>Concreto Magro 0,10m</a:t>
          </a:r>
        </a:p>
      </xdr:txBody>
    </xdr:sp>
    <xdr:clientData/>
  </xdr:twoCellAnchor>
  <xdr:twoCellAnchor>
    <xdr:from>
      <xdr:col>0</xdr:col>
      <xdr:colOff>323850</xdr:colOff>
      <xdr:row>0</xdr:row>
      <xdr:rowOff>76200</xdr:rowOff>
    </xdr:from>
    <xdr:to>
      <xdr:col>1</xdr:col>
      <xdr:colOff>533400</xdr:colOff>
      <xdr:row>4</xdr:row>
      <xdr:rowOff>171450</xdr:rowOff>
    </xdr:to>
    <xdr:pic>
      <xdr:nvPicPr>
        <xdr:cNvPr id="5" name="Picture 4"/>
        <xdr:cNvPicPr>
          <a:picLocks noChangeAspect="1" noChangeArrowheads="1"/>
        </xdr:cNvPicPr>
      </xdr:nvPicPr>
      <xdr:blipFill>
        <a:blip xmlns:r="http://schemas.openxmlformats.org/officeDocument/2006/relationships" r:embed="rId1" cstate="print"/>
        <a:srcRect/>
        <a:stretch>
          <a:fillRect/>
        </a:stretch>
      </xdr:blipFill>
      <xdr:spPr bwMode="auto">
        <a:xfrm>
          <a:off x="323850" y="76200"/>
          <a:ext cx="619125" cy="78105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213"/>
  <sheetViews>
    <sheetView workbookViewId="0">
      <selection activeCell="K12" sqref="K12"/>
    </sheetView>
  </sheetViews>
  <sheetFormatPr defaultRowHeight="15" x14ac:dyDescent="0.25"/>
  <cols>
    <col min="1" max="1" width="4.42578125" style="3" bestFit="1" customWidth="1"/>
    <col min="2" max="2" width="12" style="3" bestFit="1" customWidth="1"/>
    <col min="3" max="3" width="63.140625" style="3" customWidth="1"/>
    <col min="4" max="4" width="7.140625" style="3" customWidth="1"/>
    <col min="5" max="5" width="10.140625" style="3" customWidth="1"/>
    <col min="6" max="6" width="10.28515625" style="3" customWidth="1"/>
    <col min="7" max="7" width="12.42578125" style="3" bestFit="1" customWidth="1"/>
    <col min="8" max="8" width="6.42578125" style="3" bestFit="1" customWidth="1"/>
    <col min="9" max="192" width="9.140625" style="3"/>
    <col min="193" max="193" width="6.140625" style="3" customWidth="1"/>
    <col min="194" max="194" width="12.140625" style="3" customWidth="1"/>
    <col min="195" max="195" width="80.140625" style="3" customWidth="1"/>
    <col min="196" max="196" width="7.85546875" style="3" customWidth="1"/>
    <col min="197" max="197" width="11" style="3" customWidth="1"/>
    <col min="198" max="198" width="12.85546875" style="3" customWidth="1"/>
    <col min="199" max="199" width="14.140625" style="3" bestFit="1" customWidth="1"/>
    <col min="200" max="200" width="9.140625" style="3"/>
    <col min="201" max="201" width="12.85546875" style="3" bestFit="1" customWidth="1"/>
    <col min="202" max="448" width="9.140625" style="3"/>
    <col min="449" max="449" width="6.140625" style="3" customWidth="1"/>
    <col min="450" max="450" width="12.140625" style="3" customWidth="1"/>
    <col min="451" max="451" width="80.140625" style="3" customWidth="1"/>
    <col min="452" max="452" width="7.85546875" style="3" customWidth="1"/>
    <col min="453" max="453" width="11" style="3" customWidth="1"/>
    <col min="454" max="454" width="12.85546875" style="3" customWidth="1"/>
    <col min="455" max="455" width="14.140625" style="3" bestFit="1" customWidth="1"/>
    <col min="456" max="456" width="9.140625" style="3"/>
    <col min="457" max="457" width="12.85546875" style="3" bestFit="1" customWidth="1"/>
    <col min="458" max="704" width="9.140625" style="3"/>
    <col min="705" max="705" width="6.140625" style="3" customWidth="1"/>
    <col min="706" max="706" width="12.140625" style="3" customWidth="1"/>
    <col min="707" max="707" width="80.140625" style="3" customWidth="1"/>
    <col min="708" max="708" width="7.85546875" style="3" customWidth="1"/>
    <col min="709" max="709" width="11" style="3" customWidth="1"/>
    <col min="710" max="710" width="12.85546875" style="3" customWidth="1"/>
    <col min="711" max="711" width="14.140625" style="3" bestFit="1" customWidth="1"/>
    <col min="712" max="712" width="9.140625" style="3"/>
    <col min="713" max="713" width="12.85546875" style="3" bestFit="1" customWidth="1"/>
    <col min="714" max="960" width="9.140625" style="3"/>
    <col min="961" max="961" width="6.140625" style="3" customWidth="1"/>
    <col min="962" max="962" width="12.140625" style="3" customWidth="1"/>
    <col min="963" max="963" width="80.140625" style="3" customWidth="1"/>
    <col min="964" max="964" width="7.85546875" style="3" customWidth="1"/>
    <col min="965" max="965" width="11" style="3" customWidth="1"/>
    <col min="966" max="966" width="12.85546875" style="3" customWidth="1"/>
    <col min="967" max="967" width="14.140625" style="3" bestFit="1" customWidth="1"/>
    <col min="968" max="968" width="9.140625" style="3"/>
    <col min="969" max="969" width="12.85546875" style="3" bestFit="1" customWidth="1"/>
    <col min="970" max="1216" width="9.140625" style="3"/>
    <col min="1217" max="1217" width="6.140625" style="3" customWidth="1"/>
    <col min="1218" max="1218" width="12.140625" style="3" customWidth="1"/>
    <col min="1219" max="1219" width="80.140625" style="3" customWidth="1"/>
    <col min="1220" max="1220" width="7.85546875" style="3" customWidth="1"/>
    <col min="1221" max="1221" width="11" style="3" customWidth="1"/>
    <col min="1222" max="1222" width="12.85546875" style="3" customWidth="1"/>
    <col min="1223" max="1223" width="14.140625" style="3" bestFit="1" customWidth="1"/>
    <col min="1224" max="1224" width="9.140625" style="3"/>
    <col min="1225" max="1225" width="12.85546875" style="3" bestFit="1" customWidth="1"/>
    <col min="1226" max="1472" width="9.140625" style="3"/>
    <col min="1473" max="1473" width="6.140625" style="3" customWidth="1"/>
    <col min="1474" max="1474" width="12.140625" style="3" customWidth="1"/>
    <col min="1475" max="1475" width="80.140625" style="3" customWidth="1"/>
    <col min="1476" max="1476" width="7.85546875" style="3" customWidth="1"/>
    <col min="1477" max="1477" width="11" style="3" customWidth="1"/>
    <col min="1478" max="1478" width="12.85546875" style="3" customWidth="1"/>
    <col min="1479" max="1479" width="14.140625" style="3" bestFit="1" customWidth="1"/>
    <col min="1480" max="1480" width="9.140625" style="3"/>
    <col min="1481" max="1481" width="12.85546875" style="3" bestFit="1" customWidth="1"/>
    <col min="1482" max="1728" width="9.140625" style="3"/>
    <col min="1729" max="1729" width="6.140625" style="3" customWidth="1"/>
    <col min="1730" max="1730" width="12.140625" style="3" customWidth="1"/>
    <col min="1731" max="1731" width="80.140625" style="3" customWidth="1"/>
    <col min="1732" max="1732" width="7.85546875" style="3" customWidth="1"/>
    <col min="1733" max="1733" width="11" style="3" customWidth="1"/>
    <col min="1734" max="1734" width="12.85546875" style="3" customWidth="1"/>
    <col min="1735" max="1735" width="14.140625" style="3" bestFit="1" customWidth="1"/>
    <col min="1736" max="1736" width="9.140625" style="3"/>
    <col min="1737" max="1737" width="12.85546875" style="3" bestFit="1" customWidth="1"/>
    <col min="1738" max="1984" width="9.140625" style="3"/>
    <col min="1985" max="1985" width="6.140625" style="3" customWidth="1"/>
    <col min="1986" max="1986" width="12.140625" style="3" customWidth="1"/>
    <col min="1987" max="1987" width="80.140625" style="3" customWidth="1"/>
    <col min="1988" max="1988" width="7.85546875" style="3" customWidth="1"/>
    <col min="1989" max="1989" width="11" style="3" customWidth="1"/>
    <col min="1990" max="1990" width="12.85546875" style="3" customWidth="1"/>
    <col min="1991" max="1991" width="14.140625" style="3" bestFit="1" customWidth="1"/>
    <col min="1992" max="1992" width="9.140625" style="3"/>
    <col min="1993" max="1993" width="12.85546875" style="3" bestFit="1" customWidth="1"/>
    <col min="1994" max="2240" width="9.140625" style="3"/>
    <col min="2241" max="2241" width="6.140625" style="3" customWidth="1"/>
    <col min="2242" max="2242" width="12.140625" style="3" customWidth="1"/>
    <col min="2243" max="2243" width="80.140625" style="3" customWidth="1"/>
    <col min="2244" max="2244" width="7.85546875" style="3" customWidth="1"/>
    <col min="2245" max="2245" width="11" style="3" customWidth="1"/>
    <col min="2246" max="2246" width="12.85546875" style="3" customWidth="1"/>
    <col min="2247" max="2247" width="14.140625" style="3" bestFit="1" customWidth="1"/>
    <col min="2248" max="2248" width="9.140625" style="3"/>
    <col min="2249" max="2249" width="12.85546875" style="3" bestFit="1" customWidth="1"/>
    <col min="2250" max="2496" width="9.140625" style="3"/>
    <col min="2497" max="2497" width="6.140625" style="3" customWidth="1"/>
    <col min="2498" max="2498" width="12.140625" style="3" customWidth="1"/>
    <col min="2499" max="2499" width="80.140625" style="3" customWidth="1"/>
    <col min="2500" max="2500" width="7.85546875" style="3" customWidth="1"/>
    <col min="2501" max="2501" width="11" style="3" customWidth="1"/>
    <col min="2502" max="2502" width="12.85546875" style="3" customWidth="1"/>
    <col min="2503" max="2503" width="14.140625" style="3" bestFit="1" customWidth="1"/>
    <col min="2504" max="2504" width="9.140625" style="3"/>
    <col min="2505" max="2505" width="12.85546875" style="3" bestFit="1" customWidth="1"/>
    <col min="2506" max="2752" width="9.140625" style="3"/>
    <col min="2753" max="2753" width="6.140625" style="3" customWidth="1"/>
    <col min="2754" max="2754" width="12.140625" style="3" customWidth="1"/>
    <col min="2755" max="2755" width="80.140625" style="3" customWidth="1"/>
    <col min="2756" max="2756" width="7.85546875" style="3" customWidth="1"/>
    <col min="2757" max="2757" width="11" style="3" customWidth="1"/>
    <col min="2758" max="2758" width="12.85546875" style="3" customWidth="1"/>
    <col min="2759" max="2759" width="14.140625" style="3" bestFit="1" customWidth="1"/>
    <col min="2760" max="2760" width="9.140625" style="3"/>
    <col min="2761" max="2761" width="12.85546875" style="3" bestFit="1" customWidth="1"/>
    <col min="2762" max="3008" width="9.140625" style="3"/>
    <col min="3009" max="3009" width="6.140625" style="3" customWidth="1"/>
    <col min="3010" max="3010" width="12.140625" style="3" customWidth="1"/>
    <col min="3011" max="3011" width="80.140625" style="3" customWidth="1"/>
    <col min="3012" max="3012" width="7.85546875" style="3" customWidth="1"/>
    <col min="3013" max="3013" width="11" style="3" customWidth="1"/>
    <col min="3014" max="3014" width="12.85546875" style="3" customWidth="1"/>
    <col min="3015" max="3015" width="14.140625" style="3" bestFit="1" customWidth="1"/>
    <col min="3016" max="3016" width="9.140625" style="3"/>
    <col min="3017" max="3017" width="12.85546875" style="3" bestFit="1" customWidth="1"/>
    <col min="3018" max="3264" width="9.140625" style="3"/>
    <col min="3265" max="3265" width="6.140625" style="3" customWidth="1"/>
    <col min="3266" max="3266" width="12.140625" style="3" customWidth="1"/>
    <col min="3267" max="3267" width="80.140625" style="3" customWidth="1"/>
    <col min="3268" max="3268" width="7.85546875" style="3" customWidth="1"/>
    <col min="3269" max="3269" width="11" style="3" customWidth="1"/>
    <col min="3270" max="3270" width="12.85546875" style="3" customWidth="1"/>
    <col min="3271" max="3271" width="14.140625" style="3" bestFit="1" customWidth="1"/>
    <col min="3272" max="3272" width="9.140625" style="3"/>
    <col min="3273" max="3273" width="12.85546875" style="3" bestFit="1" customWidth="1"/>
    <col min="3274" max="3520" width="9.140625" style="3"/>
    <col min="3521" max="3521" width="6.140625" style="3" customWidth="1"/>
    <col min="3522" max="3522" width="12.140625" style="3" customWidth="1"/>
    <col min="3523" max="3523" width="80.140625" style="3" customWidth="1"/>
    <col min="3524" max="3524" width="7.85546875" style="3" customWidth="1"/>
    <col min="3525" max="3525" width="11" style="3" customWidth="1"/>
    <col min="3526" max="3526" width="12.85546875" style="3" customWidth="1"/>
    <col min="3527" max="3527" width="14.140625" style="3" bestFit="1" customWidth="1"/>
    <col min="3528" max="3528" width="9.140625" style="3"/>
    <col min="3529" max="3529" width="12.85546875" style="3" bestFit="1" customWidth="1"/>
    <col min="3530" max="3776" width="9.140625" style="3"/>
    <col min="3777" max="3777" width="6.140625" style="3" customWidth="1"/>
    <col min="3778" max="3778" width="12.140625" style="3" customWidth="1"/>
    <col min="3779" max="3779" width="80.140625" style="3" customWidth="1"/>
    <col min="3780" max="3780" width="7.85546875" style="3" customWidth="1"/>
    <col min="3781" max="3781" width="11" style="3" customWidth="1"/>
    <col min="3782" max="3782" width="12.85546875" style="3" customWidth="1"/>
    <col min="3783" max="3783" width="14.140625" style="3" bestFit="1" customWidth="1"/>
    <col min="3784" max="3784" width="9.140625" style="3"/>
    <col min="3785" max="3785" width="12.85546875" style="3" bestFit="1" customWidth="1"/>
    <col min="3786" max="4032" width="9.140625" style="3"/>
    <col min="4033" max="4033" width="6.140625" style="3" customWidth="1"/>
    <col min="4034" max="4034" width="12.140625" style="3" customWidth="1"/>
    <col min="4035" max="4035" width="80.140625" style="3" customWidth="1"/>
    <col min="4036" max="4036" width="7.85546875" style="3" customWidth="1"/>
    <col min="4037" max="4037" width="11" style="3" customWidth="1"/>
    <col min="4038" max="4038" width="12.85546875" style="3" customWidth="1"/>
    <col min="4039" max="4039" width="14.140625" style="3" bestFit="1" customWidth="1"/>
    <col min="4040" max="4040" width="9.140625" style="3"/>
    <col min="4041" max="4041" width="12.85546875" style="3" bestFit="1" customWidth="1"/>
    <col min="4042" max="4288" width="9.140625" style="3"/>
    <col min="4289" max="4289" width="6.140625" style="3" customWidth="1"/>
    <col min="4290" max="4290" width="12.140625" style="3" customWidth="1"/>
    <col min="4291" max="4291" width="80.140625" style="3" customWidth="1"/>
    <col min="4292" max="4292" width="7.85546875" style="3" customWidth="1"/>
    <col min="4293" max="4293" width="11" style="3" customWidth="1"/>
    <col min="4294" max="4294" width="12.85546875" style="3" customWidth="1"/>
    <col min="4295" max="4295" width="14.140625" style="3" bestFit="1" customWidth="1"/>
    <col min="4296" max="4296" width="9.140625" style="3"/>
    <col min="4297" max="4297" width="12.85546875" style="3" bestFit="1" customWidth="1"/>
    <col min="4298" max="4544" width="9.140625" style="3"/>
    <col min="4545" max="4545" width="6.140625" style="3" customWidth="1"/>
    <col min="4546" max="4546" width="12.140625" style="3" customWidth="1"/>
    <col min="4547" max="4547" width="80.140625" style="3" customWidth="1"/>
    <col min="4548" max="4548" width="7.85546875" style="3" customWidth="1"/>
    <col min="4549" max="4549" width="11" style="3" customWidth="1"/>
    <col min="4550" max="4550" width="12.85546875" style="3" customWidth="1"/>
    <col min="4551" max="4551" width="14.140625" style="3" bestFit="1" customWidth="1"/>
    <col min="4552" max="4552" width="9.140625" style="3"/>
    <col min="4553" max="4553" width="12.85546875" style="3" bestFit="1" customWidth="1"/>
    <col min="4554" max="4800" width="9.140625" style="3"/>
    <col min="4801" max="4801" width="6.140625" style="3" customWidth="1"/>
    <col min="4802" max="4802" width="12.140625" style="3" customWidth="1"/>
    <col min="4803" max="4803" width="80.140625" style="3" customWidth="1"/>
    <col min="4804" max="4804" width="7.85546875" style="3" customWidth="1"/>
    <col min="4805" max="4805" width="11" style="3" customWidth="1"/>
    <col min="4806" max="4806" width="12.85546875" style="3" customWidth="1"/>
    <col min="4807" max="4807" width="14.140625" style="3" bestFit="1" customWidth="1"/>
    <col min="4808" max="4808" width="9.140625" style="3"/>
    <col min="4809" max="4809" width="12.85546875" style="3" bestFit="1" customWidth="1"/>
    <col min="4810" max="5056" width="9.140625" style="3"/>
    <col min="5057" max="5057" width="6.140625" style="3" customWidth="1"/>
    <col min="5058" max="5058" width="12.140625" style="3" customWidth="1"/>
    <col min="5059" max="5059" width="80.140625" style="3" customWidth="1"/>
    <col min="5060" max="5060" width="7.85546875" style="3" customWidth="1"/>
    <col min="5061" max="5061" width="11" style="3" customWidth="1"/>
    <col min="5062" max="5062" width="12.85546875" style="3" customWidth="1"/>
    <col min="5063" max="5063" width="14.140625" style="3" bestFit="1" customWidth="1"/>
    <col min="5064" max="5064" width="9.140625" style="3"/>
    <col min="5065" max="5065" width="12.85546875" style="3" bestFit="1" customWidth="1"/>
    <col min="5066" max="5312" width="9.140625" style="3"/>
    <col min="5313" max="5313" width="6.140625" style="3" customWidth="1"/>
    <col min="5314" max="5314" width="12.140625" style="3" customWidth="1"/>
    <col min="5315" max="5315" width="80.140625" style="3" customWidth="1"/>
    <col min="5316" max="5316" width="7.85546875" style="3" customWidth="1"/>
    <col min="5317" max="5317" width="11" style="3" customWidth="1"/>
    <col min="5318" max="5318" width="12.85546875" style="3" customWidth="1"/>
    <col min="5319" max="5319" width="14.140625" style="3" bestFit="1" customWidth="1"/>
    <col min="5320" max="5320" width="9.140625" style="3"/>
    <col min="5321" max="5321" width="12.85546875" style="3" bestFit="1" customWidth="1"/>
    <col min="5322" max="5568" width="9.140625" style="3"/>
    <col min="5569" max="5569" width="6.140625" style="3" customWidth="1"/>
    <col min="5570" max="5570" width="12.140625" style="3" customWidth="1"/>
    <col min="5571" max="5571" width="80.140625" style="3" customWidth="1"/>
    <col min="5572" max="5572" width="7.85546875" style="3" customWidth="1"/>
    <col min="5573" max="5573" width="11" style="3" customWidth="1"/>
    <col min="5574" max="5574" width="12.85546875" style="3" customWidth="1"/>
    <col min="5575" max="5575" width="14.140625" style="3" bestFit="1" customWidth="1"/>
    <col min="5576" max="5576" width="9.140625" style="3"/>
    <col min="5577" max="5577" width="12.85546875" style="3" bestFit="1" customWidth="1"/>
    <col min="5578" max="5824" width="9.140625" style="3"/>
    <col min="5825" max="5825" width="6.140625" style="3" customWidth="1"/>
    <col min="5826" max="5826" width="12.140625" style="3" customWidth="1"/>
    <col min="5827" max="5827" width="80.140625" style="3" customWidth="1"/>
    <col min="5828" max="5828" width="7.85546875" style="3" customWidth="1"/>
    <col min="5829" max="5829" width="11" style="3" customWidth="1"/>
    <col min="5830" max="5830" width="12.85546875" style="3" customWidth="1"/>
    <col min="5831" max="5831" width="14.140625" style="3" bestFit="1" customWidth="1"/>
    <col min="5832" max="5832" width="9.140625" style="3"/>
    <col min="5833" max="5833" width="12.85546875" style="3" bestFit="1" customWidth="1"/>
    <col min="5834" max="6080" width="9.140625" style="3"/>
    <col min="6081" max="6081" width="6.140625" style="3" customWidth="1"/>
    <col min="6082" max="6082" width="12.140625" style="3" customWidth="1"/>
    <col min="6083" max="6083" width="80.140625" style="3" customWidth="1"/>
    <col min="6084" max="6084" width="7.85546875" style="3" customWidth="1"/>
    <col min="6085" max="6085" width="11" style="3" customWidth="1"/>
    <col min="6086" max="6086" width="12.85546875" style="3" customWidth="1"/>
    <col min="6087" max="6087" width="14.140625" style="3" bestFit="1" customWidth="1"/>
    <col min="6088" max="6088" width="9.140625" style="3"/>
    <col min="6089" max="6089" width="12.85546875" style="3" bestFit="1" customWidth="1"/>
    <col min="6090" max="6336" width="9.140625" style="3"/>
    <col min="6337" max="6337" width="6.140625" style="3" customWidth="1"/>
    <col min="6338" max="6338" width="12.140625" style="3" customWidth="1"/>
    <col min="6339" max="6339" width="80.140625" style="3" customWidth="1"/>
    <col min="6340" max="6340" width="7.85546875" style="3" customWidth="1"/>
    <col min="6341" max="6341" width="11" style="3" customWidth="1"/>
    <col min="6342" max="6342" width="12.85546875" style="3" customWidth="1"/>
    <col min="6343" max="6343" width="14.140625" style="3" bestFit="1" customWidth="1"/>
    <col min="6344" max="6344" width="9.140625" style="3"/>
    <col min="6345" max="6345" width="12.85546875" style="3" bestFit="1" customWidth="1"/>
    <col min="6346" max="6592" width="9.140625" style="3"/>
    <col min="6593" max="6593" width="6.140625" style="3" customWidth="1"/>
    <col min="6594" max="6594" width="12.140625" style="3" customWidth="1"/>
    <col min="6595" max="6595" width="80.140625" style="3" customWidth="1"/>
    <col min="6596" max="6596" width="7.85546875" style="3" customWidth="1"/>
    <col min="6597" max="6597" width="11" style="3" customWidth="1"/>
    <col min="6598" max="6598" width="12.85546875" style="3" customWidth="1"/>
    <col min="6599" max="6599" width="14.140625" style="3" bestFit="1" customWidth="1"/>
    <col min="6600" max="6600" width="9.140625" style="3"/>
    <col min="6601" max="6601" width="12.85546875" style="3" bestFit="1" customWidth="1"/>
    <col min="6602" max="6848" width="9.140625" style="3"/>
    <col min="6849" max="6849" width="6.140625" style="3" customWidth="1"/>
    <col min="6850" max="6850" width="12.140625" style="3" customWidth="1"/>
    <col min="6851" max="6851" width="80.140625" style="3" customWidth="1"/>
    <col min="6852" max="6852" width="7.85546875" style="3" customWidth="1"/>
    <col min="6853" max="6853" width="11" style="3" customWidth="1"/>
    <col min="6854" max="6854" width="12.85546875" style="3" customWidth="1"/>
    <col min="6855" max="6855" width="14.140625" style="3" bestFit="1" customWidth="1"/>
    <col min="6856" max="6856" width="9.140625" style="3"/>
    <col min="6857" max="6857" width="12.85546875" style="3" bestFit="1" customWidth="1"/>
    <col min="6858" max="7104" width="9.140625" style="3"/>
    <col min="7105" max="7105" width="6.140625" style="3" customWidth="1"/>
    <col min="7106" max="7106" width="12.140625" style="3" customWidth="1"/>
    <col min="7107" max="7107" width="80.140625" style="3" customWidth="1"/>
    <col min="7108" max="7108" width="7.85546875" style="3" customWidth="1"/>
    <col min="7109" max="7109" width="11" style="3" customWidth="1"/>
    <col min="7110" max="7110" width="12.85546875" style="3" customWidth="1"/>
    <col min="7111" max="7111" width="14.140625" style="3" bestFit="1" customWidth="1"/>
    <col min="7112" max="7112" width="9.140625" style="3"/>
    <col min="7113" max="7113" width="12.85546875" style="3" bestFit="1" customWidth="1"/>
    <col min="7114" max="7360" width="9.140625" style="3"/>
    <col min="7361" max="7361" width="6.140625" style="3" customWidth="1"/>
    <col min="7362" max="7362" width="12.140625" style="3" customWidth="1"/>
    <col min="7363" max="7363" width="80.140625" style="3" customWidth="1"/>
    <col min="7364" max="7364" width="7.85546875" style="3" customWidth="1"/>
    <col min="7365" max="7365" width="11" style="3" customWidth="1"/>
    <col min="7366" max="7366" width="12.85546875" style="3" customWidth="1"/>
    <col min="7367" max="7367" width="14.140625" style="3" bestFit="1" customWidth="1"/>
    <col min="7368" max="7368" width="9.140625" style="3"/>
    <col min="7369" max="7369" width="12.85546875" style="3" bestFit="1" customWidth="1"/>
    <col min="7370" max="7616" width="9.140625" style="3"/>
    <col min="7617" max="7617" width="6.140625" style="3" customWidth="1"/>
    <col min="7618" max="7618" width="12.140625" style="3" customWidth="1"/>
    <col min="7619" max="7619" width="80.140625" style="3" customWidth="1"/>
    <col min="7620" max="7620" width="7.85546875" style="3" customWidth="1"/>
    <col min="7621" max="7621" width="11" style="3" customWidth="1"/>
    <col min="7622" max="7622" width="12.85546875" style="3" customWidth="1"/>
    <col min="7623" max="7623" width="14.140625" style="3" bestFit="1" customWidth="1"/>
    <col min="7624" max="7624" width="9.140625" style="3"/>
    <col min="7625" max="7625" width="12.85546875" style="3" bestFit="1" customWidth="1"/>
    <col min="7626" max="7872" width="9.140625" style="3"/>
    <col min="7873" max="7873" width="6.140625" style="3" customWidth="1"/>
    <col min="7874" max="7874" width="12.140625" style="3" customWidth="1"/>
    <col min="7875" max="7875" width="80.140625" style="3" customWidth="1"/>
    <col min="7876" max="7876" width="7.85546875" style="3" customWidth="1"/>
    <col min="7877" max="7877" width="11" style="3" customWidth="1"/>
    <col min="7878" max="7878" width="12.85546875" style="3" customWidth="1"/>
    <col min="7879" max="7879" width="14.140625" style="3" bestFit="1" customWidth="1"/>
    <col min="7880" max="7880" width="9.140625" style="3"/>
    <col min="7881" max="7881" width="12.85546875" style="3" bestFit="1" customWidth="1"/>
    <col min="7882" max="8128" width="9.140625" style="3"/>
    <col min="8129" max="8129" width="6.140625" style="3" customWidth="1"/>
    <col min="8130" max="8130" width="12.140625" style="3" customWidth="1"/>
    <col min="8131" max="8131" width="80.140625" style="3" customWidth="1"/>
    <col min="8132" max="8132" width="7.85546875" style="3" customWidth="1"/>
    <col min="8133" max="8133" width="11" style="3" customWidth="1"/>
    <col min="8134" max="8134" width="12.85546875" style="3" customWidth="1"/>
    <col min="8135" max="8135" width="14.140625" style="3" bestFit="1" customWidth="1"/>
    <col min="8136" max="8136" width="9.140625" style="3"/>
    <col min="8137" max="8137" width="12.85546875" style="3" bestFit="1" customWidth="1"/>
    <col min="8138" max="8384" width="9.140625" style="3"/>
    <col min="8385" max="8385" width="6.140625" style="3" customWidth="1"/>
    <col min="8386" max="8386" width="12.140625" style="3" customWidth="1"/>
    <col min="8387" max="8387" width="80.140625" style="3" customWidth="1"/>
    <col min="8388" max="8388" width="7.85546875" style="3" customWidth="1"/>
    <col min="8389" max="8389" width="11" style="3" customWidth="1"/>
    <col min="8390" max="8390" width="12.85546875" style="3" customWidth="1"/>
    <col min="8391" max="8391" width="14.140625" style="3" bestFit="1" customWidth="1"/>
    <col min="8392" max="8392" width="9.140625" style="3"/>
    <col min="8393" max="8393" width="12.85546875" style="3" bestFit="1" customWidth="1"/>
    <col min="8394" max="8640" width="9.140625" style="3"/>
    <col min="8641" max="8641" width="6.140625" style="3" customWidth="1"/>
    <col min="8642" max="8642" width="12.140625" style="3" customWidth="1"/>
    <col min="8643" max="8643" width="80.140625" style="3" customWidth="1"/>
    <col min="8644" max="8644" width="7.85546875" style="3" customWidth="1"/>
    <col min="8645" max="8645" width="11" style="3" customWidth="1"/>
    <col min="8646" max="8646" width="12.85546875" style="3" customWidth="1"/>
    <col min="8647" max="8647" width="14.140625" style="3" bestFit="1" customWidth="1"/>
    <col min="8648" max="8648" width="9.140625" style="3"/>
    <col min="8649" max="8649" width="12.85546875" style="3" bestFit="1" customWidth="1"/>
    <col min="8650" max="8896" width="9.140625" style="3"/>
    <col min="8897" max="8897" width="6.140625" style="3" customWidth="1"/>
    <col min="8898" max="8898" width="12.140625" style="3" customWidth="1"/>
    <col min="8899" max="8899" width="80.140625" style="3" customWidth="1"/>
    <col min="8900" max="8900" width="7.85546875" style="3" customWidth="1"/>
    <col min="8901" max="8901" width="11" style="3" customWidth="1"/>
    <col min="8902" max="8902" width="12.85546875" style="3" customWidth="1"/>
    <col min="8903" max="8903" width="14.140625" style="3" bestFit="1" customWidth="1"/>
    <col min="8904" max="8904" width="9.140625" style="3"/>
    <col min="8905" max="8905" width="12.85546875" style="3" bestFit="1" customWidth="1"/>
    <col min="8906" max="9152" width="9.140625" style="3"/>
    <col min="9153" max="9153" width="6.140625" style="3" customWidth="1"/>
    <col min="9154" max="9154" width="12.140625" style="3" customWidth="1"/>
    <col min="9155" max="9155" width="80.140625" style="3" customWidth="1"/>
    <col min="9156" max="9156" width="7.85546875" style="3" customWidth="1"/>
    <col min="9157" max="9157" width="11" style="3" customWidth="1"/>
    <col min="9158" max="9158" width="12.85546875" style="3" customWidth="1"/>
    <col min="9159" max="9159" width="14.140625" style="3" bestFit="1" customWidth="1"/>
    <col min="9160" max="9160" width="9.140625" style="3"/>
    <col min="9161" max="9161" width="12.85546875" style="3" bestFit="1" customWidth="1"/>
    <col min="9162" max="9408" width="9.140625" style="3"/>
    <col min="9409" max="9409" width="6.140625" style="3" customWidth="1"/>
    <col min="9410" max="9410" width="12.140625" style="3" customWidth="1"/>
    <col min="9411" max="9411" width="80.140625" style="3" customWidth="1"/>
    <col min="9412" max="9412" width="7.85546875" style="3" customWidth="1"/>
    <col min="9413" max="9413" width="11" style="3" customWidth="1"/>
    <col min="9414" max="9414" width="12.85546875" style="3" customWidth="1"/>
    <col min="9415" max="9415" width="14.140625" style="3" bestFit="1" customWidth="1"/>
    <col min="9416" max="9416" width="9.140625" style="3"/>
    <col min="9417" max="9417" width="12.85546875" style="3" bestFit="1" customWidth="1"/>
    <col min="9418" max="9664" width="9.140625" style="3"/>
    <col min="9665" max="9665" width="6.140625" style="3" customWidth="1"/>
    <col min="9666" max="9666" width="12.140625" style="3" customWidth="1"/>
    <col min="9667" max="9667" width="80.140625" style="3" customWidth="1"/>
    <col min="9668" max="9668" width="7.85546875" style="3" customWidth="1"/>
    <col min="9669" max="9669" width="11" style="3" customWidth="1"/>
    <col min="9670" max="9670" width="12.85546875" style="3" customWidth="1"/>
    <col min="9671" max="9671" width="14.140625" style="3" bestFit="1" customWidth="1"/>
    <col min="9672" max="9672" width="9.140625" style="3"/>
    <col min="9673" max="9673" width="12.85546875" style="3" bestFit="1" customWidth="1"/>
    <col min="9674" max="9920" width="9.140625" style="3"/>
    <col min="9921" max="9921" width="6.140625" style="3" customWidth="1"/>
    <col min="9922" max="9922" width="12.140625" style="3" customWidth="1"/>
    <col min="9923" max="9923" width="80.140625" style="3" customWidth="1"/>
    <col min="9924" max="9924" width="7.85546875" style="3" customWidth="1"/>
    <col min="9925" max="9925" width="11" style="3" customWidth="1"/>
    <col min="9926" max="9926" width="12.85546875" style="3" customWidth="1"/>
    <col min="9927" max="9927" width="14.140625" style="3" bestFit="1" customWidth="1"/>
    <col min="9928" max="9928" width="9.140625" style="3"/>
    <col min="9929" max="9929" width="12.85546875" style="3" bestFit="1" customWidth="1"/>
    <col min="9930" max="10176" width="9.140625" style="3"/>
    <col min="10177" max="10177" width="6.140625" style="3" customWidth="1"/>
    <col min="10178" max="10178" width="12.140625" style="3" customWidth="1"/>
    <col min="10179" max="10179" width="80.140625" style="3" customWidth="1"/>
    <col min="10180" max="10180" width="7.85546875" style="3" customWidth="1"/>
    <col min="10181" max="10181" width="11" style="3" customWidth="1"/>
    <col min="10182" max="10182" width="12.85546875" style="3" customWidth="1"/>
    <col min="10183" max="10183" width="14.140625" style="3" bestFit="1" customWidth="1"/>
    <col min="10184" max="10184" width="9.140625" style="3"/>
    <col min="10185" max="10185" width="12.85546875" style="3" bestFit="1" customWidth="1"/>
    <col min="10186" max="10432" width="9.140625" style="3"/>
    <col min="10433" max="10433" width="6.140625" style="3" customWidth="1"/>
    <col min="10434" max="10434" width="12.140625" style="3" customWidth="1"/>
    <col min="10435" max="10435" width="80.140625" style="3" customWidth="1"/>
    <col min="10436" max="10436" width="7.85546875" style="3" customWidth="1"/>
    <col min="10437" max="10437" width="11" style="3" customWidth="1"/>
    <col min="10438" max="10438" width="12.85546875" style="3" customWidth="1"/>
    <col min="10439" max="10439" width="14.140625" style="3" bestFit="1" customWidth="1"/>
    <col min="10440" max="10440" width="9.140625" style="3"/>
    <col min="10441" max="10441" width="12.85546875" style="3" bestFit="1" customWidth="1"/>
    <col min="10442" max="10688" width="9.140625" style="3"/>
    <col min="10689" max="10689" width="6.140625" style="3" customWidth="1"/>
    <col min="10690" max="10690" width="12.140625" style="3" customWidth="1"/>
    <col min="10691" max="10691" width="80.140625" style="3" customWidth="1"/>
    <col min="10692" max="10692" width="7.85546875" style="3" customWidth="1"/>
    <col min="10693" max="10693" width="11" style="3" customWidth="1"/>
    <col min="10694" max="10694" width="12.85546875" style="3" customWidth="1"/>
    <col min="10695" max="10695" width="14.140625" style="3" bestFit="1" customWidth="1"/>
    <col min="10696" max="10696" width="9.140625" style="3"/>
    <col min="10697" max="10697" width="12.85546875" style="3" bestFit="1" customWidth="1"/>
    <col min="10698" max="10944" width="9.140625" style="3"/>
    <col min="10945" max="10945" width="6.140625" style="3" customWidth="1"/>
    <col min="10946" max="10946" width="12.140625" style="3" customWidth="1"/>
    <col min="10947" max="10947" width="80.140625" style="3" customWidth="1"/>
    <col min="10948" max="10948" width="7.85546875" style="3" customWidth="1"/>
    <col min="10949" max="10949" width="11" style="3" customWidth="1"/>
    <col min="10950" max="10950" width="12.85546875" style="3" customWidth="1"/>
    <col min="10951" max="10951" width="14.140625" style="3" bestFit="1" customWidth="1"/>
    <col min="10952" max="10952" width="9.140625" style="3"/>
    <col min="10953" max="10953" width="12.85546875" style="3" bestFit="1" customWidth="1"/>
    <col min="10954" max="11200" width="9.140625" style="3"/>
    <col min="11201" max="11201" width="6.140625" style="3" customWidth="1"/>
    <col min="11202" max="11202" width="12.140625" style="3" customWidth="1"/>
    <col min="11203" max="11203" width="80.140625" style="3" customWidth="1"/>
    <col min="11204" max="11204" width="7.85546875" style="3" customWidth="1"/>
    <col min="11205" max="11205" width="11" style="3" customWidth="1"/>
    <col min="11206" max="11206" width="12.85546875" style="3" customWidth="1"/>
    <col min="11207" max="11207" width="14.140625" style="3" bestFit="1" customWidth="1"/>
    <col min="11208" max="11208" width="9.140625" style="3"/>
    <col min="11209" max="11209" width="12.85546875" style="3" bestFit="1" customWidth="1"/>
    <col min="11210" max="11456" width="9.140625" style="3"/>
    <col min="11457" max="11457" width="6.140625" style="3" customWidth="1"/>
    <col min="11458" max="11458" width="12.140625" style="3" customWidth="1"/>
    <col min="11459" max="11459" width="80.140625" style="3" customWidth="1"/>
    <col min="11460" max="11460" width="7.85546875" style="3" customWidth="1"/>
    <col min="11461" max="11461" width="11" style="3" customWidth="1"/>
    <col min="11462" max="11462" width="12.85546875" style="3" customWidth="1"/>
    <col min="11463" max="11463" width="14.140625" style="3" bestFit="1" customWidth="1"/>
    <col min="11464" max="11464" width="9.140625" style="3"/>
    <col min="11465" max="11465" width="12.85546875" style="3" bestFit="1" customWidth="1"/>
    <col min="11466" max="11712" width="9.140625" style="3"/>
    <col min="11713" max="11713" width="6.140625" style="3" customWidth="1"/>
    <col min="11714" max="11714" width="12.140625" style="3" customWidth="1"/>
    <col min="11715" max="11715" width="80.140625" style="3" customWidth="1"/>
    <col min="11716" max="11716" width="7.85546875" style="3" customWidth="1"/>
    <col min="11717" max="11717" width="11" style="3" customWidth="1"/>
    <col min="11718" max="11718" width="12.85546875" style="3" customWidth="1"/>
    <col min="11719" max="11719" width="14.140625" style="3" bestFit="1" customWidth="1"/>
    <col min="11720" max="11720" width="9.140625" style="3"/>
    <col min="11721" max="11721" width="12.85546875" style="3" bestFit="1" customWidth="1"/>
    <col min="11722" max="11968" width="9.140625" style="3"/>
    <col min="11969" max="11969" width="6.140625" style="3" customWidth="1"/>
    <col min="11970" max="11970" width="12.140625" style="3" customWidth="1"/>
    <col min="11971" max="11971" width="80.140625" style="3" customWidth="1"/>
    <col min="11972" max="11972" width="7.85546875" style="3" customWidth="1"/>
    <col min="11973" max="11973" width="11" style="3" customWidth="1"/>
    <col min="11974" max="11974" width="12.85546875" style="3" customWidth="1"/>
    <col min="11975" max="11975" width="14.140625" style="3" bestFit="1" customWidth="1"/>
    <col min="11976" max="11976" width="9.140625" style="3"/>
    <col min="11977" max="11977" width="12.85546875" style="3" bestFit="1" customWidth="1"/>
    <col min="11978" max="12224" width="9.140625" style="3"/>
    <col min="12225" max="12225" width="6.140625" style="3" customWidth="1"/>
    <col min="12226" max="12226" width="12.140625" style="3" customWidth="1"/>
    <col min="12227" max="12227" width="80.140625" style="3" customWidth="1"/>
    <col min="12228" max="12228" width="7.85546875" style="3" customWidth="1"/>
    <col min="12229" max="12229" width="11" style="3" customWidth="1"/>
    <col min="12230" max="12230" width="12.85546875" style="3" customWidth="1"/>
    <col min="12231" max="12231" width="14.140625" style="3" bestFit="1" customWidth="1"/>
    <col min="12232" max="12232" width="9.140625" style="3"/>
    <col min="12233" max="12233" width="12.85546875" style="3" bestFit="1" customWidth="1"/>
    <col min="12234" max="12480" width="9.140625" style="3"/>
    <col min="12481" max="12481" width="6.140625" style="3" customWidth="1"/>
    <col min="12482" max="12482" width="12.140625" style="3" customWidth="1"/>
    <col min="12483" max="12483" width="80.140625" style="3" customWidth="1"/>
    <col min="12484" max="12484" width="7.85546875" style="3" customWidth="1"/>
    <col min="12485" max="12485" width="11" style="3" customWidth="1"/>
    <col min="12486" max="12486" width="12.85546875" style="3" customWidth="1"/>
    <col min="12487" max="12487" width="14.140625" style="3" bestFit="1" customWidth="1"/>
    <col min="12488" max="12488" width="9.140625" style="3"/>
    <col min="12489" max="12489" width="12.85546875" style="3" bestFit="1" customWidth="1"/>
    <col min="12490" max="12736" width="9.140625" style="3"/>
    <col min="12737" max="12737" width="6.140625" style="3" customWidth="1"/>
    <col min="12738" max="12738" width="12.140625" style="3" customWidth="1"/>
    <col min="12739" max="12739" width="80.140625" style="3" customWidth="1"/>
    <col min="12740" max="12740" width="7.85546875" style="3" customWidth="1"/>
    <col min="12741" max="12741" width="11" style="3" customWidth="1"/>
    <col min="12742" max="12742" width="12.85546875" style="3" customWidth="1"/>
    <col min="12743" max="12743" width="14.140625" style="3" bestFit="1" customWidth="1"/>
    <col min="12744" max="12744" width="9.140625" style="3"/>
    <col min="12745" max="12745" width="12.85546875" style="3" bestFit="1" customWidth="1"/>
    <col min="12746" max="12992" width="9.140625" style="3"/>
    <col min="12993" max="12993" width="6.140625" style="3" customWidth="1"/>
    <col min="12994" max="12994" width="12.140625" style="3" customWidth="1"/>
    <col min="12995" max="12995" width="80.140625" style="3" customWidth="1"/>
    <col min="12996" max="12996" width="7.85546875" style="3" customWidth="1"/>
    <col min="12997" max="12997" width="11" style="3" customWidth="1"/>
    <col min="12998" max="12998" width="12.85546875" style="3" customWidth="1"/>
    <col min="12999" max="12999" width="14.140625" style="3" bestFit="1" customWidth="1"/>
    <col min="13000" max="13000" width="9.140625" style="3"/>
    <col min="13001" max="13001" width="12.85546875" style="3" bestFit="1" customWidth="1"/>
    <col min="13002" max="13248" width="9.140625" style="3"/>
    <col min="13249" max="13249" width="6.140625" style="3" customWidth="1"/>
    <col min="13250" max="13250" width="12.140625" style="3" customWidth="1"/>
    <col min="13251" max="13251" width="80.140625" style="3" customWidth="1"/>
    <col min="13252" max="13252" width="7.85546875" style="3" customWidth="1"/>
    <col min="13253" max="13253" width="11" style="3" customWidth="1"/>
    <col min="13254" max="13254" width="12.85546875" style="3" customWidth="1"/>
    <col min="13255" max="13255" width="14.140625" style="3" bestFit="1" customWidth="1"/>
    <col min="13256" max="13256" width="9.140625" style="3"/>
    <col min="13257" max="13257" width="12.85546875" style="3" bestFit="1" customWidth="1"/>
    <col min="13258" max="13504" width="9.140625" style="3"/>
    <col min="13505" max="13505" width="6.140625" style="3" customWidth="1"/>
    <col min="13506" max="13506" width="12.140625" style="3" customWidth="1"/>
    <col min="13507" max="13507" width="80.140625" style="3" customWidth="1"/>
    <col min="13508" max="13508" width="7.85546875" style="3" customWidth="1"/>
    <col min="13509" max="13509" width="11" style="3" customWidth="1"/>
    <col min="13510" max="13510" width="12.85546875" style="3" customWidth="1"/>
    <col min="13511" max="13511" width="14.140625" style="3" bestFit="1" customWidth="1"/>
    <col min="13512" max="13512" width="9.140625" style="3"/>
    <col min="13513" max="13513" width="12.85546875" style="3" bestFit="1" customWidth="1"/>
    <col min="13514" max="13760" width="9.140625" style="3"/>
    <col min="13761" max="13761" width="6.140625" style="3" customWidth="1"/>
    <col min="13762" max="13762" width="12.140625" style="3" customWidth="1"/>
    <col min="13763" max="13763" width="80.140625" style="3" customWidth="1"/>
    <col min="13764" max="13764" width="7.85546875" style="3" customWidth="1"/>
    <col min="13765" max="13765" width="11" style="3" customWidth="1"/>
    <col min="13766" max="13766" width="12.85546875" style="3" customWidth="1"/>
    <col min="13767" max="13767" width="14.140625" style="3" bestFit="1" customWidth="1"/>
    <col min="13768" max="13768" width="9.140625" style="3"/>
    <col min="13769" max="13769" width="12.85546875" style="3" bestFit="1" customWidth="1"/>
    <col min="13770" max="14016" width="9.140625" style="3"/>
    <col min="14017" max="14017" width="6.140625" style="3" customWidth="1"/>
    <col min="14018" max="14018" width="12.140625" style="3" customWidth="1"/>
    <col min="14019" max="14019" width="80.140625" style="3" customWidth="1"/>
    <col min="14020" max="14020" width="7.85546875" style="3" customWidth="1"/>
    <col min="14021" max="14021" width="11" style="3" customWidth="1"/>
    <col min="14022" max="14022" width="12.85546875" style="3" customWidth="1"/>
    <col min="14023" max="14023" width="14.140625" style="3" bestFit="1" customWidth="1"/>
    <col min="14024" max="14024" width="9.140625" style="3"/>
    <col min="14025" max="14025" width="12.85546875" style="3" bestFit="1" customWidth="1"/>
    <col min="14026" max="14272" width="9.140625" style="3"/>
    <col min="14273" max="14273" width="6.140625" style="3" customWidth="1"/>
    <col min="14274" max="14274" width="12.140625" style="3" customWidth="1"/>
    <col min="14275" max="14275" width="80.140625" style="3" customWidth="1"/>
    <col min="14276" max="14276" width="7.85546875" style="3" customWidth="1"/>
    <col min="14277" max="14277" width="11" style="3" customWidth="1"/>
    <col min="14278" max="14278" width="12.85546875" style="3" customWidth="1"/>
    <col min="14279" max="14279" width="14.140625" style="3" bestFit="1" customWidth="1"/>
    <col min="14280" max="14280" width="9.140625" style="3"/>
    <col min="14281" max="14281" width="12.85546875" style="3" bestFit="1" customWidth="1"/>
    <col min="14282" max="14528" width="9.140625" style="3"/>
    <col min="14529" max="14529" width="6.140625" style="3" customWidth="1"/>
    <col min="14530" max="14530" width="12.140625" style="3" customWidth="1"/>
    <col min="14531" max="14531" width="80.140625" style="3" customWidth="1"/>
    <col min="14532" max="14532" width="7.85546875" style="3" customWidth="1"/>
    <col min="14533" max="14533" width="11" style="3" customWidth="1"/>
    <col min="14534" max="14534" width="12.85546875" style="3" customWidth="1"/>
    <col min="14535" max="14535" width="14.140625" style="3" bestFit="1" customWidth="1"/>
    <col min="14536" max="14536" width="9.140625" style="3"/>
    <col min="14537" max="14537" width="12.85546875" style="3" bestFit="1" customWidth="1"/>
    <col min="14538" max="14784" width="9.140625" style="3"/>
    <col min="14785" max="14785" width="6.140625" style="3" customWidth="1"/>
    <col min="14786" max="14786" width="12.140625" style="3" customWidth="1"/>
    <col min="14787" max="14787" width="80.140625" style="3" customWidth="1"/>
    <col min="14788" max="14788" width="7.85546875" style="3" customWidth="1"/>
    <col min="14789" max="14789" width="11" style="3" customWidth="1"/>
    <col min="14790" max="14790" width="12.85546875" style="3" customWidth="1"/>
    <col min="14791" max="14791" width="14.140625" style="3" bestFit="1" customWidth="1"/>
    <col min="14792" max="14792" width="9.140625" style="3"/>
    <col min="14793" max="14793" width="12.85546875" style="3" bestFit="1" customWidth="1"/>
    <col min="14794" max="15040" width="9.140625" style="3"/>
    <col min="15041" max="15041" width="6.140625" style="3" customWidth="1"/>
    <col min="15042" max="15042" width="12.140625" style="3" customWidth="1"/>
    <col min="15043" max="15043" width="80.140625" style="3" customWidth="1"/>
    <col min="15044" max="15044" width="7.85546875" style="3" customWidth="1"/>
    <col min="15045" max="15045" width="11" style="3" customWidth="1"/>
    <col min="15046" max="15046" width="12.85546875" style="3" customWidth="1"/>
    <col min="15047" max="15047" width="14.140625" style="3" bestFit="1" customWidth="1"/>
    <col min="15048" max="15048" width="9.140625" style="3"/>
    <col min="15049" max="15049" width="12.85546875" style="3" bestFit="1" customWidth="1"/>
    <col min="15050" max="15296" width="9.140625" style="3"/>
    <col min="15297" max="15297" width="6.140625" style="3" customWidth="1"/>
    <col min="15298" max="15298" width="12.140625" style="3" customWidth="1"/>
    <col min="15299" max="15299" width="80.140625" style="3" customWidth="1"/>
    <col min="15300" max="15300" width="7.85546875" style="3" customWidth="1"/>
    <col min="15301" max="15301" width="11" style="3" customWidth="1"/>
    <col min="15302" max="15302" width="12.85546875" style="3" customWidth="1"/>
    <col min="15303" max="15303" width="14.140625" style="3" bestFit="1" customWidth="1"/>
    <col min="15304" max="15304" width="9.140625" style="3"/>
    <col min="15305" max="15305" width="12.85546875" style="3" bestFit="1" customWidth="1"/>
    <col min="15306" max="15552" width="9.140625" style="3"/>
    <col min="15553" max="15553" width="6.140625" style="3" customWidth="1"/>
    <col min="15554" max="15554" width="12.140625" style="3" customWidth="1"/>
    <col min="15555" max="15555" width="80.140625" style="3" customWidth="1"/>
    <col min="15556" max="15556" width="7.85546875" style="3" customWidth="1"/>
    <col min="15557" max="15557" width="11" style="3" customWidth="1"/>
    <col min="15558" max="15558" width="12.85546875" style="3" customWidth="1"/>
    <col min="15559" max="15559" width="14.140625" style="3" bestFit="1" customWidth="1"/>
    <col min="15560" max="15560" width="9.140625" style="3"/>
    <col min="15561" max="15561" width="12.85546875" style="3" bestFit="1" customWidth="1"/>
    <col min="15562" max="15808" width="9.140625" style="3"/>
    <col min="15809" max="15809" width="6.140625" style="3" customWidth="1"/>
    <col min="15810" max="15810" width="12.140625" style="3" customWidth="1"/>
    <col min="15811" max="15811" width="80.140625" style="3" customWidth="1"/>
    <col min="15812" max="15812" width="7.85546875" style="3" customWidth="1"/>
    <col min="15813" max="15813" width="11" style="3" customWidth="1"/>
    <col min="15814" max="15814" width="12.85546875" style="3" customWidth="1"/>
    <col min="15815" max="15815" width="14.140625" style="3" bestFit="1" customWidth="1"/>
    <col min="15816" max="15816" width="9.140625" style="3"/>
    <col min="15817" max="15817" width="12.85546875" style="3" bestFit="1" customWidth="1"/>
    <col min="15818" max="16064" width="9.140625" style="3"/>
    <col min="16065" max="16065" width="6.140625" style="3" customWidth="1"/>
    <col min="16066" max="16066" width="12.140625" style="3" customWidth="1"/>
    <col min="16067" max="16067" width="80.140625" style="3" customWidth="1"/>
    <col min="16068" max="16068" width="7.85546875" style="3" customWidth="1"/>
    <col min="16069" max="16069" width="11" style="3" customWidth="1"/>
    <col min="16070" max="16070" width="12.85546875" style="3" customWidth="1"/>
    <col min="16071" max="16071" width="14.140625" style="3" bestFit="1" customWidth="1"/>
    <col min="16072" max="16072" width="9.140625" style="3"/>
    <col min="16073" max="16073" width="12.85546875" style="3" bestFit="1" customWidth="1"/>
    <col min="16074" max="16384" width="9.140625" style="3"/>
  </cols>
  <sheetData>
    <row r="1" spans="1:8" ht="12.75" customHeight="1" x14ac:dyDescent="0.25">
      <c r="A1" s="1"/>
      <c r="B1" s="2" t="s">
        <v>0</v>
      </c>
      <c r="C1" s="104" t="s">
        <v>1</v>
      </c>
      <c r="D1" s="2"/>
      <c r="E1" s="2"/>
      <c r="F1" s="2"/>
      <c r="G1" s="2"/>
      <c r="H1" s="127"/>
    </row>
    <row r="2" spans="1:8" ht="16.5" customHeight="1" x14ac:dyDescent="0.25">
      <c r="A2" s="4"/>
      <c r="B2" s="105"/>
      <c r="C2" s="7" t="s">
        <v>2</v>
      </c>
      <c r="D2" s="5"/>
      <c r="E2" s="5"/>
      <c r="F2" s="5"/>
      <c r="G2" s="5"/>
      <c r="H2" s="128"/>
    </row>
    <row r="3" spans="1:8" ht="15.75" customHeight="1" x14ac:dyDescent="0.25">
      <c r="A3" s="4"/>
      <c r="B3" s="5" t="s">
        <v>0</v>
      </c>
      <c r="C3" s="7" t="s">
        <v>3</v>
      </c>
      <c r="D3" s="5"/>
      <c r="E3" s="5"/>
      <c r="F3" s="5"/>
      <c r="G3" s="5"/>
      <c r="H3" s="128"/>
    </row>
    <row r="4" spans="1:8" ht="9" customHeight="1" x14ac:dyDescent="0.25">
      <c r="A4" s="4"/>
      <c r="B4" s="5"/>
      <c r="C4" s="5"/>
      <c r="D4" s="5"/>
      <c r="E4" s="5"/>
      <c r="F4" s="5"/>
      <c r="G4" s="5"/>
      <c r="H4" s="128"/>
    </row>
    <row r="5" spans="1:8" ht="15" customHeight="1" x14ac:dyDescent="0.25">
      <c r="A5" s="106"/>
      <c r="B5" s="7"/>
      <c r="C5" s="138" t="s">
        <v>173</v>
      </c>
      <c r="D5" s="138"/>
      <c r="E5" s="138"/>
      <c r="F5" s="138"/>
      <c r="G5" s="138"/>
      <c r="H5" s="139"/>
    </row>
    <row r="6" spans="1:8" ht="15" customHeight="1" x14ac:dyDescent="0.25">
      <c r="A6" s="106"/>
      <c r="B6" s="7"/>
      <c r="C6" s="138"/>
      <c r="D6" s="138"/>
      <c r="E6" s="138"/>
      <c r="F6" s="138"/>
      <c r="G6" s="138"/>
      <c r="H6" s="139"/>
    </row>
    <row r="7" spans="1:8" ht="15" customHeight="1" x14ac:dyDescent="0.25">
      <c r="A7" s="106"/>
      <c r="B7" s="7"/>
      <c r="C7" s="136"/>
      <c r="D7" s="136"/>
      <c r="E7" s="136"/>
      <c r="F7" s="136"/>
      <c r="G7" s="136"/>
      <c r="H7" s="137"/>
    </row>
    <row r="8" spans="1:8" ht="15" customHeight="1" x14ac:dyDescent="0.25">
      <c r="A8" s="198" t="s">
        <v>282</v>
      </c>
      <c r="B8" s="142"/>
      <c r="C8" s="142"/>
      <c r="D8" s="142"/>
      <c r="E8" s="142"/>
      <c r="F8" s="142"/>
      <c r="G8" s="142"/>
      <c r="H8" s="143"/>
    </row>
    <row r="9" spans="1:8" ht="15" customHeight="1" thickBot="1" x14ac:dyDescent="0.3">
      <c r="A9" s="107"/>
      <c r="B9" s="108"/>
      <c r="C9" s="108"/>
      <c r="D9" s="16"/>
      <c r="E9" s="6"/>
      <c r="F9" s="140" t="s">
        <v>281</v>
      </c>
      <c r="G9" s="140"/>
      <c r="H9" s="141"/>
    </row>
    <row r="10" spans="1:8" ht="12.95" customHeight="1" x14ac:dyDescent="0.25">
      <c r="A10" s="144" t="s">
        <v>4</v>
      </c>
      <c r="B10" s="146" t="s">
        <v>5</v>
      </c>
      <c r="C10" s="146" t="s">
        <v>25</v>
      </c>
      <c r="D10" s="148" t="s">
        <v>6</v>
      </c>
      <c r="E10" s="148" t="s">
        <v>18</v>
      </c>
      <c r="F10" s="148" t="s">
        <v>7</v>
      </c>
      <c r="G10" s="150" t="s">
        <v>9</v>
      </c>
      <c r="H10" s="150" t="s">
        <v>130</v>
      </c>
    </row>
    <row r="11" spans="1:8" ht="19.5" customHeight="1" x14ac:dyDescent="0.25">
      <c r="A11" s="145"/>
      <c r="B11" s="147"/>
      <c r="C11" s="147"/>
      <c r="D11" s="149"/>
      <c r="E11" s="149"/>
      <c r="F11" s="149"/>
      <c r="G11" s="151"/>
      <c r="H11" s="151"/>
    </row>
    <row r="12" spans="1:8" ht="19.5" customHeight="1" x14ac:dyDescent="0.25">
      <c r="A12" s="123"/>
      <c r="B12" s="124"/>
      <c r="C12" s="125" t="s">
        <v>271</v>
      </c>
      <c r="D12" s="124"/>
      <c r="E12" s="124"/>
      <c r="F12" s="124"/>
      <c r="G12" s="126">
        <f>SUM(G13:G22)</f>
        <v>881325.46000000008</v>
      </c>
      <c r="H12" s="126"/>
    </row>
    <row r="13" spans="1:8" ht="51" x14ac:dyDescent="0.25">
      <c r="A13" s="110">
        <v>1</v>
      </c>
      <c r="B13" s="8" t="s">
        <v>60</v>
      </c>
      <c r="C13" s="9" t="s">
        <v>90</v>
      </c>
      <c r="D13" s="11" t="s">
        <v>22</v>
      </c>
      <c r="E13" s="11">
        <v>576</v>
      </c>
      <c r="F13" s="11">
        <v>499.82</v>
      </c>
      <c r="G13" s="109">
        <f>+F13*E13</f>
        <v>287896.32000000001</v>
      </c>
      <c r="H13" s="130">
        <f>+G13/$G$82</f>
        <v>4.1301878503145373E-2</v>
      </c>
    </row>
    <row r="14" spans="1:8" ht="51" x14ac:dyDescent="0.25">
      <c r="A14" s="110">
        <f>+A13+1</f>
        <v>2</v>
      </c>
      <c r="B14" s="8" t="s">
        <v>61</v>
      </c>
      <c r="C14" s="9" t="s">
        <v>91</v>
      </c>
      <c r="D14" s="11" t="s">
        <v>22</v>
      </c>
      <c r="E14" s="11">
        <v>576</v>
      </c>
      <c r="F14" s="11">
        <v>159.18</v>
      </c>
      <c r="G14" s="109">
        <f t="shared" ref="G14:G76" si="0">+F14*E14</f>
        <v>91687.680000000008</v>
      </c>
      <c r="H14" s="130">
        <f t="shared" ref="H14:H76" si="1">+G14/$G$82</f>
        <v>1.3153601336742588E-2</v>
      </c>
    </row>
    <row r="15" spans="1:8" ht="41.25" customHeight="1" x14ac:dyDescent="0.25">
      <c r="A15" s="110">
        <f t="shared" ref="A15:A81" si="2">+A14+1</f>
        <v>3</v>
      </c>
      <c r="B15" s="8" t="s">
        <v>23</v>
      </c>
      <c r="C15" s="9" t="s">
        <v>149</v>
      </c>
      <c r="D15" s="11" t="s">
        <v>21</v>
      </c>
      <c r="E15" s="11">
        <v>24</v>
      </c>
      <c r="F15" s="11">
        <v>6275.59</v>
      </c>
      <c r="G15" s="109">
        <f t="shared" si="0"/>
        <v>150614.16</v>
      </c>
      <c r="H15" s="130">
        <f t="shared" si="1"/>
        <v>2.1607249919600561E-2</v>
      </c>
    </row>
    <row r="16" spans="1:8" ht="38.25" x14ac:dyDescent="0.25">
      <c r="A16" s="110">
        <f t="shared" si="2"/>
        <v>4</v>
      </c>
      <c r="B16" s="8" t="s">
        <v>63</v>
      </c>
      <c r="C16" s="9" t="s">
        <v>102</v>
      </c>
      <c r="D16" s="11" t="s">
        <v>21</v>
      </c>
      <c r="E16" s="11">
        <v>24</v>
      </c>
      <c r="F16" s="11">
        <v>1100</v>
      </c>
      <c r="G16" s="109">
        <f t="shared" si="0"/>
        <v>26400</v>
      </c>
      <c r="H16" s="130">
        <f t="shared" si="1"/>
        <v>3.7873689822886161E-3</v>
      </c>
    </row>
    <row r="17" spans="1:8" ht="38.25" x14ac:dyDescent="0.25">
      <c r="A17" s="110">
        <f t="shared" si="2"/>
        <v>5</v>
      </c>
      <c r="B17" s="8" t="s">
        <v>157</v>
      </c>
      <c r="C17" s="9" t="s">
        <v>155</v>
      </c>
      <c r="D17" s="11" t="s">
        <v>151</v>
      </c>
      <c r="E17" s="11">
        <v>300</v>
      </c>
      <c r="F17" s="11">
        <v>135.16</v>
      </c>
      <c r="G17" s="109">
        <f t="shared" si="0"/>
        <v>40548</v>
      </c>
      <c r="H17" s="130">
        <f t="shared" si="1"/>
        <v>5.8170544505241973E-3</v>
      </c>
    </row>
    <row r="18" spans="1:8" ht="25.5" x14ac:dyDescent="0.25">
      <c r="A18" s="110">
        <f t="shared" si="2"/>
        <v>6</v>
      </c>
      <c r="B18" s="8" t="s">
        <v>158</v>
      </c>
      <c r="C18" s="9" t="s">
        <v>156</v>
      </c>
      <c r="D18" s="11" t="s">
        <v>151</v>
      </c>
      <c r="E18" s="11">
        <f>+E17*10</f>
        <v>3000</v>
      </c>
      <c r="F18" s="11">
        <v>3.28</v>
      </c>
      <c r="G18" s="109">
        <f t="shared" si="0"/>
        <v>9840</v>
      </c>
      <c r="H18" s="130">
        <f t="shared" si="1"/>
        <v>1.4116557115803024E-3</v>
      </c>
    </row>
    <row r="19" spans="1:8" ht="25.5" x14ac:dyDescent="0.25">
      <c r="A19" s="110">
        <f t="shared" si="2"/>
        <v>7</v>
      </c>
      <c r="B19" s="8" t="s">
        <v>153</v>
      </c>
      <c r="C19" s="9" t="s">
        <v>150</v>
      </c>
      <c r="D19" s="11" t="s">
        <v>151</v>
      </c>
      <c r="E19" s="11">
        <v>250</v>
      </c>
      <c r="F19" s="11">
        <v>12.27</v>
      </c>
      <c r="G19" s="109">
        <f t="shared" si="0"/>
        <v>3067.5</v>
      </c>
      <c r="H19" s="130">
        <f t="shared" si="1"/>
        <v>4.4006645277160338E-4</v>
      </c>
    </row>
    <row r="20" spans="1:8" ht="38.25" x14ac:dyDescent="0.25">
      <c r="A20" s="110">
        <f t="shared" si="2"/>
        <v>8</v>
      </c>
      <c r="B20" s="8" t="s">
        <v>154</v>
      </c>
      <c r="C20" s="9" t="s">
        <v>152</v>
      </c>
      <c r="D20" s="11" t="s">
        <v>151</v>
      </c>
      <c r="E20" s="11">
        <f>+E19*5</f>
        <v>1250</v>
      </c>
      <c r="F20" s="11">
        <v>69.36</v>
      </c>
      <c r="G20" s="109">
        <f t="shared" si="0"/>
        <v>86700</v>
      </c>
      <c r="H20" s="130">
        <f t="shared" si="1"/>
        <v>1.2438064044106932E-2</v>
      </c>
    </row>
    <row r="21" spans="1:8" ht="25.5" x14ac:dyDescent="0.25">
      <c r="A21" s="110">
        <f t="shared" si="2"/>
        <v>9</v>
      </c>
      <c r="B21" s="8" t="s">
        <v>188</v>
      </c>
      <c r="C21" s="9" t="s">
        <v>174</v>
      </c>
      <c r="D21" s="11" t="s">
        <v>8</v>
      </c>
      <c r="E21" s="11">
        <f>(E36+E37+E38+E39)*2</f>
        <v>980</v>
      </c>
      <c r="F21" s="11">
        <v>1.55</v>
      </c>
      <c r="G21" s="109">
        <f t="shared" si="0"/>
        <v>1519</v>
      </c>
      <c r="H21" s="130">
        <f t="shared" si="1"/>
        <v>2.1791717742789424E-4</v>
      </c>
    </row>
    <row r="22" spans="1:8" x14ac:dyDescent="0.25">
      <c r="A22" s="110">
        <f t="shared" si="2"/>
        <v>10</v>
      </c>
      <c r="B22" s="8" t="s">
        <v>64</v>
      </c>
      <c r="C22" s="9" t="s">
        <v>103</v>
      </c>
      <c r="D22" s="11" t="s">
        <v>22</v>
      </c>
      <c r="E22" s="11">
        <v>1920</v>
      </c>
      <c r="F22" s="11">
        <v>95.34</v>
      </c>
      <c r="G22" s="109">
        <f t="shared" si="0"/>
        <v>183052.80000000002</v>
      </c>
      <c r="H22" s="130">
        <f t="shared" si="1"/>
        <v>2.6260927910647033E-2</v>
      </c>
    </row>
    <row r="23" spans="1:8" x14ac:dyDescent="0.25">
      <c r="A23" s="123"/>
      <c r="B23" s="124"/>
      <c r="C23" s="125" t="s">
        <v>272</v>
      </c>
      <c r="D23" s="124"/>
      <c r="E23" s="124"/>
      <c r="F23" s="124"/>
      <c r="G23" s="126">
        <f>SUM(G24:G34)</f>
        <v>2503745</v>
      </c>
      <c r="H23" s="130"/>
    </row>
    <row r="24" spans="1:8" ht="25.5" x14ac:dyDescent="0.25">
      <c r="A24" s="110">
        <f>+A22+1</f>
        <v>11</v>
      </c>
      <c r="B24" s="8" t="s">
        <v>65</v>
      </c>
      <c r="C24" s="9" t="s">
        <v>104</v>
      </c>
      <c r="D24" s="11" t="s">
        <v>13</v>
      </c>
      <c r="E24" s="11">
        <f>+E29*0.2</f>
        <v>2000</v>
      </c>
      <c r="F24" s="11">
        <v>105</v>
      </c>
      <c r="G24" s="109">
        <f t="shared" si="0"/>
        <v>210000</v>
      </c>
      <c r="H24" s="134">
        <f t="shared" si="1"/>
        <v>3.0126798722750356E-2</v>
      </c>
    </row>
    <row r="25" spans="1:8" ht="25.5" x14ac:dyDescent="0.25">
      <c r="A25" s="110">
        <f t="shared" si="2"/>
        <v>12</v>
      </c>
      <c r="B25" s="8" t="s">
        <v>66</v>
      </c>
      <c r="C25" s="9" t="s">
        <v>92</v>
      </c>
      <c r="D25" s="11" t="s">
        <v>13</v>
      </c>
      <c r="E25" s="11">
        <f>+E29*0.2</f>
        <v>2000</v>
      </c>
      <c r="F25" s="11">
        <v>110.31</v>
      </c>
      <c r="G25" s="109">
        <f t="shared" si="0"/>
        <v>220620</v>
      </c>
      <c r="H25" s="134">
        <f t="shared" si="1"/>
        <v>3.1650353972443729E-2</v>
      </c>
    </row>
    <row r="26" spans="1:8" ht="51" x14ac:dyDescent="0.25">
      <c r="A26" s="110">
        <f t="shared" si="2"/>
        <v>13</v>
      </c>
      <c r="B26" s="8" t="s">
        <v>67</v>
      </c>
      <c r="C26" s="9" t="s">
        <v>105</v>
      </c>
      <c r="D26" s="11" t="s">
        <v>10</v>
      </c>
      <c r="E26" s="11">
        <f>+E27</f>
        <v>3000</v>
      </c>
      <c r="F26" s="11">
        <v>1.54</v>
      </c>
      <c r="G26" s="109">
        <f t="shared" si="0"/>
        <v>4620</v>
      </c>
      <c r="H26" s="130">
        <f t="shared" si="1"/>
        <v>6.6278957190050785E-4</v>
      </c>
    </row>
    <row r="27" spans="1:8" x14ac:dyDescent="0.25">
      <c r="A27" s="110">
        <f t="shared" si="2"/>
        <v>14</v>
      </c>
      <c r="B27" s="8" t="s">
        <v>168</v>
      </c>
      <c r="C27" s="9" t="s">
        <v>167</v>
      </c>
      <c r="D27" s="11" t="s">
        <v>10</v>
      </c>
      <c r="E27" s="11">
        <f>+E30*0.3</f>
        <v>3000</v>
      </c>
      <c r="F27" s="11">
        <v>11.95</v>
      </c>
      <c r="G27" s="109">
        <f t="shared" si="0"/>
        <v>35850</v>
      </c>
      <c r="H27" s="130">
        <f t="shared" si="1"/>
        <v>5.1430749248123821E-3</v>
      </c>
    </row>
    <row r="28" spans="1:8" ht="38.25" x14ac:dyDescent="0.25">
      <c r="A28" s="110">
        <f t="shared" si="2"/>
        <v>15</v>
      </c>
      <c r="B28" s="8" t="s">
        <v>68</v>
      </c>
      <c r="C28" s="9" t="s">
        <v>106</v>
      </c>
      <c r="D28" s="11" t="s">
        <v>11</v>
      </c>
      <c r="E28" s="11">
        <f>+E30*0.1*2.3+250*2.3</f>
        <v>2875</v>
      </c>
      <c r="F28" s="11">
        <v>6.52</v>
      </c>
      <c r="G28" s="109">
        <f t="shared" si="0"/>
        <v>18745</v>
      </c>
      <c r="H28" s="130">
        <f t="shared" si="1"/>
        <v>2.6891754383712163E-3</v>
      </c>
    </row>
    <row r="29" spans="1:8" x14ac:dyDescent="0.25">
      <c r="A29" s="110">
        <f t="shared" si="2"/>
        <v>16</v>
      </c>
      <c r="B29" s="8" t="s">
        <v>69</v>
      </c>
      <c r="C29" s="9" t="s">
        <v>107</v>
      </c>
      <c r="D29" s="11" t="s">
        <v>10</v>
      </c>
      <c r="E29" s="11">
        <f>+E30</f>
        <v>10000</v>
      </c>
      <c r="F29" s="11">
        <v>3.2</v>
      </c>
      <c r="G29" s="109">
        <f t="shared" si="0"/>
        <v>32000</v>
      </c>
      <c r="H29" s="130">
        <f t="shared" si="1"/>
        <v>4.5907502815619589E-3</v>
      </c>
    </row>
    <row r="30" spans="1:8" ht="52.5" customHeight="1" x14ac:dyDescent="0.25">
      <c r="A30" s="110">
        <f t="shared" si="2"/>
        <v>17</v>
      </c>
      <c r="B30" s="8" t="s">
        <v>70</v>
      </c>
      <c r="C30" s="9" t="s">
        <v>108</v>
      </c>
      <c r="D30" s="11" t="s">
        <v>10</v>
      </c>
      <c r="E30" s="11">
        <v>10000</v>
      </c>
      <c r="F30" s="11">
        <v>7.82</v>
      </c>
      <c r="G30" s="109">
        <f t="shared" si="0"/>
        <v>78200</v>
      </c>
      <c r="H30" s="130">
        <f t="shared" si="1"/>
        <v>1.1218646000567037E-2</v>
      </c>
    </row>
    <row r="31" spans="1:8" ht="38.25" x14ac:dyDescent="0.25">
      <c r="A31" s="110">
        <f t="shared" si="2"/>
        <v>18</v>
      </c>
      <c r="B31" s="8" t="s">
        <v>71</v>
      </c>
      <c r="C31" s="9" t="s">
        <v>93</v>
      </c>
      <c r="D31" s="11" t="s">
        <v>11</v>
      </c>
      <c r="E31" s="11">
        <f>+E28</f>
        <v>2875</v>
      </c>
      <c r="F31" s="11">
        <v>578.48</v>
      </c>
      <c r="G31" s="109">
        <f t="shared" si="0"/>
        <v>1663130</v>
      </c>
      <c r="H31" s="134">
        <f t="shared" si="1"/>
        <v>0.2385942036179419</v>
      </c>
    </row>
    <row r="32" spans="1:8" ht="38.25" x14ac:dyDescent="0.25">
      <c r="A32" s="110">
        <f t="shared" si="2"/>
        <v>19</v>
      </c>
      <c r="B32" s="8" t="s">
        <v>172</v>
      </c>
      <c r="C32" s="9" t="s">
        <v>171</v>
      </c>
      <c r="D32" s="11" t="s">
        <v>13</v>
      </c>
      <c r="E32" s="11">
        <f>+E29*0.05</f>
        <v>500</v>
      </c>
      <c r="F32" s="11">
        <v>227.49</v>
      </c>
      <c r="G32" s="109">
        <f t="shared" si="0"/>
        <v>113745</v>
      </c>
      <c r="H32" s="134">
        <f t="shared" si="1"/>
        <v>1.6317965336758281E-2</v>
      </c>
    </row>
    <row r="33" spans="1:8" ht="51" x14ac:dyDescent="0.25">
      <c r="A33" s="110">
        <f t="shared" si="2"/>
        <v>20</v>
      </c>
      <c r="B33" s="8" t="s">
        <v>72</v>
      </c>
      <c r="C33" s="9" t="s">
        <v>109</v>
      </c>
      <c r="D33" s="11" t="s">
        <v>8</v>
      </c>
      <c r="E33" s="11">
        <v>750</v>
      </c>
      <c r="F33" s="11">
        <v>102.26</v>
      </c>
      <c r="G33" s="109">
        <f t="shared" si="0"/>
        <v>76695</v>
      </c>
      <c r="H33" s="134">
        <f t="shared" si="1"/>
        <v>1.1002737276387327E-2</v>
      </c>
    </row>
    <row r="34" spans="1:8" ht="51" x14ac:dyDescent="0.25">
      <c r="A34" s="110">
        <f>+A33+1</f>
        <v>21</v>
      </c>
      <c r="B34" s="8" t="s">
        <v>170</v>
      </c>
      <c r="C34" s="9" t="s">
        <v>169</v>
      </c>
      <c r="D34" s="11" t="s">
        <v>8</v>
      </c>
      <c r="E34" s="11">
        <v>500</v>
      </c>
      <c r="F34" s="11">
        <v>100.28</v>
      </c>
      <c r="G34" s="109">
        <f t="shared" si="0"/>
        <v>50140</v>
      </c>
      <c r="H34" s="130">
        <f t="shared" si="1"/>
        <v>7.1931318474223946E-3</v>
      </c>
    </row>
    <row r="35" spans="1:8" x14ac:dyDescent="0.25">
      <c r="A35" s="123"/>
      <c r="B35" s="124"/>
      <c r="C35" s="125" t="s">
        <v>273</v>
      </c>
      <c r="D35" s="124"/>
      <c r="E35" s="124"/>
      <c r="F35" s="124"/>
      <c r="G35" s="126">
        <f>SUM(G36:G46)</f>
        <v>329282.35600000003</v>
      </c>
      <c r="H35" s="130"/>
    </row>
    <row r="36" spans="1:8" ht="51" x14ac:dyDescent="0.25">
      <c r="A36" s="110">
        <f>+A34+1</f>
        <v>22</v>
      </c>
      <c r="B36" s="8" t="s">
        <v>190</v>
      </c>
      <c r="C36" s="9" t="s">
        <v>176</v>
      </c>
      <c r="D36" s="11" t="s">
        <v>8</v>
      </c>
      <c r="E36" s="11">
        <v>250</v>
      </c>
      <c r="F36" s="11">
        <v>231.68</v>
      </c>
      <c r="G36" s="109">
        <f t="shared" si="0"/>
        <v>57920</v>
      </c>
      <c r="H36" s="130">
        <f t="shared" si="1"/>
        <v>8.3092580096271462E-3</v>
      </c>
    </row>
    <row r="37" spans="1:8" ht="51" x14ac:dyDescent="0.25">
      <c r="A37" s="110">
        <f t="shared" si="2"/>
        <v>23</v>
      </c>
      <c r="B37" s="8" t="s">
        <v>191</v>
      </c>
      <c r="C37" s="9" t="s">
        <v>177</v>
      </c>
      <c r="D37" s="11" t="s">
        <v>8</v>
      </c>
      <c r="E37" s="11">
        <v>100</v>
      </c>
      <c r="F37" s="11">
        <v>285.91000000000003</v>
      </c>
      <c r="G37" s="109">
        <f t="shared" si="0"/>
        <v>28591.000000000004</v>
      </c>
      <c r="H37" s="130">
        <f t="shared" si="1"/>
        <v>4.1016919156293121E-3</v>
      </c>
    </row>
    <row r="38" spans="1:8" ht="51" x14ac:dyDescent="0.25">
      <c r="A38" s="110">
        <f t="shared" si="2"/>
        <v>24</v>
      </c>
      <c r="B38" s="8" t="s">
        <v>192</v>
      </c>
      <c r="C38" s="9" t="s">
        <v>178</v>
      </c>
      <c r="D38" s="11" t="s">
        <v>8</v>
      </c>
      <c r="E38" s="11">
        <v>80</v>
      </c>
      <c r="F38" s="11">
        <v>477.53</v>
      </c>
      <c r="G38" s="109">
        <f t="shared" si="0"/>
        <v>38202.399999999994</v>
      </c>
      <c r="H38" s="130">
        <f t="shared" si="1"/>
        <v>5.4805524548857051E-3</v>
      </c>
    </row>
    <row r="39" spans="1:8" ht="51" x14ac:dyDescent="0.25">
      <c r="A39" s="110">
        <f t="shared" si="2"/>
        <v>25</v>
      </c>
      <c r="B39" s="8" t="s">
        <v>193</v>
      </c>
      <c r="C39" s="9" t="s">
        <v>179</v>
      </c>
      <c r="D39" s="11" t="s">
        <v>8</v>
      </c>
      <c r="E39" s="11">
        <v>60</v>
      </c>
      <c r="F39" s="11">
        <v>691.5</v>
      </c>
      <c r="G39" s="109">
        <f t="shared" si="0"/>
        <v>41490</v>
      </c>
      <c r="H39" s="130">
        <f t="shared" si="1"/>
        <v>5.9521946619376775E-3</v>
      </c>
    </row>
    <row r="40" spans="1:8" ht="102" x14ac:dyDescent="0.25">
      <c r="A40" s="110">
        <f t="shared" si="2"/>
        <v>26</v>
      </c>
      <c r="B40" s="8" t="s">
        <v>194</v>
      </c>
      <c r="C40" s="9" t="s">
        <v>180</v>
      </c>
      <c r="D40" s="11" t="s">
        <v>151</v>
      </c>
      <c r="E40" s="11">
        <f>+(E36+E37)/25</f>
        <v>14</v>
      </c>
      <c r="F40" s="11">
        <v>3000.88</v>
      </c>
      <c r="G40" s="109">
        <f t="shared" si="0"/>
        <v>42012.32</v>
      </c>
      <c r="H40" s="130">
        <f t="shared" si="1"/>
        <v>6.0271271834084726E-3</v>
      </c>
    </row>
    <row r="41" spans="1:8" ht="102" x14ac:dyDescent="0.25">
      <c r="A41" s="110">
        <f t="shared" si="2"/>
        <v>27</v>
      </c>
      <c r="B41" s="8" t="s">
        <v>195</v>
      </c>
      <c r="C41" s="9" t="s">
        <v>181</v>
      </c>
      <c r="D41" s="11" t="s">
        <v>151</v>
      </c>
      <c r="E41" s="11">
        <f>INT(E38/25)</f>
        <v>3</v>
      </c>
      <c r="F41" s="11">
        <v>3137.91</v>
      </c>
      <c r="G41" s="109">
        <f t="shared" si="0"/>
        <v>9413.73</v>
      </c>
      <c r="H41" s="130">
        <f t="shared" si="1"/>
        <v>1.350502614001508E-3</v>
      </c>
    </row>
    <row r="42" spans="1:8" ht="102" x14ac:dyDescent="0.25">
      <c r="A42" s="110">
        <f t="shared" si="2"/>
        <v>28</v>
      </c>
      <c r="B42" s="8" t="s">
        <v>196</v>
      </c>
      <c r="C42" s="9" t="s">
        <v>182</v>
      </c>
      <c r="D42" s="11" t="s">
        <v>151</v>
      </c>
      <c r="E42" s="11">
        <f>INT(E39/25)</f>
        <v>2</v>
      </c>
      <c r="F42" s="11">
        <v>3884.98</v>
      </c>
      <c r="G42" s="109">
        <f t="shared" si="0"/>
        <v>7769.96</v>
      </c>
      <c r="H42" s="130">
        <f t="shared" si="1"/>
        <v>1.1146858143039112E-3</v>
      </c>
    </row>
    <row r="43" spans="1:8" ht="63.75" x14ac:dyDescent="0.25">
      <c r="A43" s="110">
        <f t="shared" si="2"/>
        <v>29</v>
      </c>
      <c r="B43" s="8" t="s">
        <v>198</v>
      </c>
      <c r="C43" s="9" t="s">
        <v>184</v>
      </c>
      <c r="D43" s="11" t="s">
        <v>151</v>
      </c>
      <c r="E43" s="11">
        <f>+(E40+E41+E42)*2</f>
        <v>38</v>
      </c>
      <c r="F43" s="11">
        <v>1708.55</v>
      </c>
      <c r="G43" s="109">
        <f t="shared" si="0"/>
        <v>64924.9</v>
      </c>
      <c r="H43" s="130">
        <f t="shared" si="1"/>
        <v>9.3141875923556886E-3</v>
      </c>
    </row>
    <row r="44" spans="1:8" ht="38.25" x14ac:dyDescent="0.25">
      <c r="A44" s="110">
        <f t="shared" si="2"/>
        <v>30</v>
      </c>
      <c r="B44" s="8" t="s">
        <v>197</v>
      </c>
      <c r="C44" s="9" t="s">
        <v>183</v>
      </c>
      <c r="D44" s="11" t="s">
        <v>151</v>
      </c>
      <c r="E44" s="11">
        <f>+(E40+E41+E42)</f>
        <v>19</v>
      </c>
      <c r="F44" s="11">
        <v>552.01</v>
      </c>
      <c r="G44" s="109">
        <f t="shared" si="0"/>
        <v>10488.19</v>
      </c>
      <c r="H44" s="130">
        <f t="shared" si="1"/>
        <v>1.5046456623617288E-3</v>
      </c>
    </row>
    <row r="45" spans="1:8" ht="38.25" x14ac:dyDescent="0.25">
      <c r="A45" s="110">
        <f t="shared" si="2"/>
        <v>31</v>
      </c>
      <c r="B45" s="8" t="s">
        <v>199</v>
      </c>
      <c r="C45" s="9" t="s">
        <v>185</v>
      </c>
      <c r="D45" s="11" t="s">
        <v>151</v>
      </c>
      <c r="E45" s="11">
        <f>+E43</f>
        <v>38</v>
      </c>
      <c r="F45" s="11">
        <v>460.02</v>
      </c>
      <c r="G45" s="109">
        <f t="shared" si="0"/>
        <v>17480.759999999998</v>
      </c>
      <c r="H45" s="130">
        <f t="shared" si="1"/>
        <v>2.5078063716224069E-3</v>
      </c>
    </row>
    <row r="46" spans="1:8" x14ac:dyDescent="0.25">
      <c r="A46" s="110">
        <f t="shared" si="2"/>
        <v>32</v>
      </c>
      <c r="B46" s="8" t="s">
        <v>200</v>
      </c>
      <c r="C46" s="9" t="s">
        <v>186</v>
      </c>
      <c r="D46" s="11" t="s">
        <v>13</v>
      </c>
      <c r="E46" s="11">
        <f>+(E36*0.8+E37*1.2+E38*1.6+E39*2)*0.15</f>
        <v>85.2</v>
      </c>
      <c r="F46" s="11">
        <v>128.97999999999999</v>
      </c>
      <c r="G46" s="109">
        <f t="shared" si="0"/>
        <v>10989.096</v>
      </c>
      <c r="H46" s="130">
        <f t="shared" si="1"/>
        <v>1.5765061111284811E-3</v>
      </c>
    </row>
    <row r="47" spans="1:8" x14ac:dyDescent="0.25">
      <c r="A47" s="123"/>
      <c r="B47" s="124"/>
      <c r="C47" s="125" t="s">
        <v>274</v>
      </c>
      <c r="D47" s="124"/>
      <c r="E47" s="124"/>
      <c r="F47" s="124"/>
      <c r="G47" s="126">
        <f>SUM(G48:G55)</f>
        <v>1314529.4400000002</v>
      </c>
      <c r="H47" s="130"/>
    </row>
    <row r="48" spans="1:8" ht="38.25" x14ac:dyDescent="0.25">
      <c r="A48" s="110">
        <f>+A46+1</f>
        <v>33</v>
      </c>
      <c r="B48" s="8" t="s">
        <v>73</v>
      </c>
      <c r="C48" s="9" t="s">
        <v>110</v>
      </c>
      <c r="D48" s="11" t="s">
        <v>21</v>
      </c>
      <c r="E48" s="11">
        <f>3*12</f>
        <v>36</v>
      </c>
      <c r="F48" s="11">
        <v>12773.64</v>
      </c>
      <c r="G48" s="109">
        <f t="shared" si="0"/>
        <v>459851.04</v>
      </c>
      <c r="H48" s="130">
        <f t="shared" si="1"/>
        <v>6.5970665354892488E-2</v>
      </c>
    </row>
    <row r="49" spans="1:8" ht="114.75" x14ac:dyDescent="0.25">
      <c r="A49" s="110">
        <f t="shared" si="2"/>
        <v>34</v>
      </c>
      <c r="B49" s="8" t="s">
        <v>74</v>
      </c>
      <c r="C49" s="9" t="s">
        <v>111</v>
      </c>
      <c r="D49" s="11" t="s">
        <v>22</v>
      </c>
      <c r="E49" s="11">
        <f>88*12*2</f>
        <v>2112</v>
      </c>
      <c r="F49" s="11">
        <v>149.05000000000001</v>
      </c>
      <c r="G49" s="109">
        <f t="shared" si="0"/>
        <v>314793.60000000003</v>
      </c>
      <c r="H49" s="130">
        <f t="shared" si="1"/>
        <v>4.5160587744809466E-2</v>
      </c>
    </row>
    <row r="50" spans="1:8" ht="127.5" x14ac:dyDescent="0.25">
      <c r="A50" s="110">
        <f t="shared" si="2"/>
        <v>35</v>
      </c>
      <c r="B50" s="8" t="s">
        <v>75</v>
      </c>
      <c r="C50" s="9" t="s">
        <v>112</v>
      </c>
      <c r="D50" s="11" t="s">
        <v>22</v>
      </c>
      <c r="E50" s="11">
        <f>+E49</f>
        <v>2112</v>
      </c>
      <c r="F50" s="11">
        <v>76.44</v>
      </c>
      <c r="G50" s="109">
        <f t="shared" si="0"/>
        <v>161441.28</v>
      </c>
      <c r="H50" s="130">
        <f t="shared" si="1"/>
        <v>2.3160518800491345E-2</v>
      </c>
    </row>
    <row r="51" spans="1:8" ht="51" x14ac:dyDescent="0.25">
      <c r="A51" s="110">
        <f t="shared" si="2"/>
        <v>36</v>
      </c>
      <c r="B51" s="8" t="s">
        <v>76</v>
      </c>
      <c r="C51" s="9" t="s">
        <v>113</v>
      </c>
      <c r="D51" s="11" t="s">
        <v>22</v>
      </c>
      <c r="E51" s="11">
        <v>576</v>
      </c>
      <c r="F51" s="11">
        <v>133.24</v>
      </c>
      <c r="G51" s="109">
        <f t="shared" si="0"/>
        <v>76746.240000000005</v>
      </c>
      <c r="H51" s="130">
        <f t="shared" si="1"/>
        <v>1.1010088215275679E-2</v>
      </c>
    </row>
    <row r="52" spans="1:8" ht="51" x14ac:dyDescent="0.25">
      <c r="A52" s="110">
        <f t="shared" si="2"/>
        <v>37</v>
      </c>
      <c r="B52" s="8" t="s">
        <v>77</v>
      </c>
      <c r="C52" s="9" t="s">
        <v>94</v>
      </c>
      <c r="D52" s="11" t="s">
        <v>22</v>
      </c>
      <c r="E52" s="11">
        <v>576</v>
      </c>
      <c r="F52" s="11">
        <v>68.900000000000006</v>
      </c>
      <c r="G52" s="109">
        <f t="shared" si="0"/>
        <v>39686.400000000001</v>
      </c>
      <c r="H52" s="130">
        <f t="shared" si="1"/>
        <v>5.6934484991931419E-3</v>
      </c>
    </row>
    <row r="53" spans="1:8" ht="76.5" x14ac:dyDescent="0.25">
      <c r="A53" s="110">
        <f t="shared" si="2"/>
        <v>38</v>
      </c>
      <c r="B53" s="8" t="s">
        <v>238</v>
      </c>
      <c r="C53" s="9" t="s">
        <v>203</v>
      </c>
      <c r="D53" s="11" t="s">
        <v>22</v>
      </c>
      <c r="E53" s="11">
        <v>576</v>
      </c>
      <c r="F53" s="11">
        <v>29.94</v>
      </c>
      <c r="G53" s="109">
        <f t="shared" si="0"/>
        <v>17245.440000000002</v>
      </c>
      <c r="H53" s="130">
        <f t="shared" si="1"/>
        <v>2.4740471417393712E-3</v>
      </c>
    </row>
    <row r="54" spans="1:8" ht="63.75" x14ac:dyDescent="0.25">
      <c r="A54" s="110">
        <f t="shared" si="2"/>
        <v>39</v>
      </c>
      <c r="B54" s="8" t="s">
        <v>239</v>
      </c>
      <c r="C54" s="9" t="s">
        <v>204</v>
      </c>
      <c r="D54" s="11" t="s">
        <v>22</v>
      </c>
      <c r="E54" s="11">
        <v>576</v>
      </c>
      <c r="F54" s="11">
        <v>16.62</v>
      </c>
      <c r="G54" s="109">
        <f t="shared" si="0"/>
        <v>9573.1200000000008</v>
      </c>
      <c r="H54" s="130">
        <f t="shared" si="1"/>
        <v>1.3733688542320757E-3</v>
      </c>
    </row>
    <row r="55" spans="1:8" ht="89.25" x14ac:dyDescent="0.25">
      <c r="A55" s="110">
        <f t="shared" si="2"/>
        <v>40</v>
      </c>
      <c r="B55" s="8" t="s">
        <v>201</v>
      </c>
      <c r="C55" s="9" t="s">
        <v>187</v>
      </c>
      <c r="D55" s="11" t="s">
        <v>22</v>
      </c>
      <c r="E55" s="11">
        <f>+E54</f>
        <v>576</v>
      </c>
      <c r="F55" s="11">
        <v>408.32</v>
      </c>
      <c r="G55" s="109">
        <f t="shared" si="0"/>
        <v>235192.32000000001</v>
      </c>
      <c r="H55" s="130">
        <f t="shared" si="1"/>
        <v>3.3740912789412825E-2</v>
      </c>
    </row>
    <row r="56" spans="1:8" x14ac:dyDescent="0.25">
      <c r="A56" s="123"/>
      <c r="B56" s="124"/>
      <c r="C56" s="125" t="s">
        <v>276</v>
      </c>
      <c r="D56" s="124"/>
      <c r="E56" s="124"/>
      <c r="F56" s="124"/>
      <c r="G56" s="126">
        <f>SUM(G57:G59)</f>
        <v>248240</v>
      </c>
      <c r="H56" s="130"/>
    </row>
    <row r="57" spans="1:8" ht="38.25" x14ac:dyDescent="0.25">
      <c r="A57" s="110">
        <f>+A55+1</f>
        <v>41</v>
      </c>
      <c r="B57" s="8" t="s">
        <v>78</v>
      </c>
      <c r="C57" s="9" t="s">
        <v>95</v>
      </c>
      <c r="D57" s="11" t="s">
        <v>13</v>
      </c>
      <c r="E57" s="11">
        <v>500</v>
      </c>
      <c r="F57" s="11">
        <v>43.24</v>
      </c>
      <c r="G57" s="109">
        <f t="shared" si="0"/>
        <v>21620</v>
      </c>
      <c r="H57" s="130">
        <f t="shared" si="1"/>
        <v>3.1016256589802985E-3</v>
      </c>
    </row>
    <row r="58" spans="1:8" ht="30" customHeight="1" x14ac:dyDescent="0.25">
      <c r="A58" s="110">
        <f t="shared" si="2"/>
        <v>42</v>
      </c>
      <c r="B58" s="8" t="s">
        <v>79</v>
      </c>
      <c r="C58" s="9" t="s">
        <v>96</v>
      </c>
      <c r="D58" s="11" t="s">
        <v>10</v>
      </c>
      <c r="E58" s="11">
        <v>1000</v>
      </c>
      <c r="F58" s="11">
        <v>50.12</v>
      </c>
      <c r="G58" s="109">
        <f t="shared" si="0"/>
        <v>50120</v>
      </c>
      <c r="H58" s="130">
        <f t="shared" si="1"/>
        <v>7.1902626284964183E-3</v>
      </c>
    </row>
    <row r="59" spans="1:8" ht="25.5" x14ac:dyDescent="0.25">
      <c r="A59" s="110">
        <f t="shared" si="2"/>
        <v>43</v>
      </c>
      <c r="B59" s="8" t="s">
        <v>80</v>
      </c>
      <c r="C59" s="9" t="s">
        <v>114</v>
      </c>
      <c r="D59" s="11" t="s">
        <v>13</v>
      </c>
      <c r="E59" s="11">
        <f>+E57</f>
        <v>500</v>
      </c>
      <c r="F59" s="11">
        <v>353</v>
      </c>
      <c r="G59" s="109">
        <f t="shared" si="0"/>
        <v>176500</v>
      </c>
      <c r="H59" s="130">
        <f t="shared" si="1"/>
        <v>2.5320857021740181E-2</v>
      </c>
    </row>
    <row r="60" spans="1:8" x14ac:dyDescent="0.25">
      <c r="A60" s="123"/>
      <c r="B60" s="124"/>
      <c r="C60" s="125" t="s">
        <v>275</v>
      </c>
      <c r="D60" s="124"/>
      <c r="E60" s="124"/>
      <c r="F60" s="124"/>
      <c r="G60" s="126">
        <f>SUM(G61:G65)</f>
        <v>212005.23480000001</v>
      </c>
      <c r="H60" s="130"/>
    </row>
    <row r="61" spans="1:8" ht="25.5" x14ac:dyDescent="0.25">
      <c r="A61" s="110">
        <f>+A59+1</f>
        <v>44</v>
      </c>
      <c r="B61" s="8" t="s">
        <v>81</v>
      </c>
      <c r="C61" s="9" t="s">
        <v>97</v>
      </c>
      <c r="D61" s="11" t="s">
        <v>13</v>
      </c>
      <c r="E61" s="11">
        <f>+E33*0.3*0.8</f>
        <v>180</v>
      </c>
      <c r="F61" s="11">
        <v>29.66</v>
      </c>
      <c r="G61" s="109">
        <f t="shared" si="0"/>
        <v>5338.8</v>
      </c>
      <c r="H61" s="130">
        <f t="shared" si="1"/>
        <v>7.6590930010009338E-4</v>
      </c>
    </row>
    <row r="62" spans="1:8" ht="25.5" x14ac:dyDescent="0.25">
      <c r="A62" s="110">
        <f t="shared" si="2"/>
        <v>45</v>
      </c>
      <c r="B62" s="8" t="s">
        <v>207</v>
      </c>
      <c r="C62" s="9" t="s">
        <v>205</v>
      </c>
      <c r="D62" s="11" t="s">
        <v>13</v>
      </c>
      <c r="E62" s="11">
        <f>((E36*0.8+E37*1.2+E38*1.6+E39*2)+(E40*1.7*1.7+E41*1.8*1.8+E42*2*2))*1.5+2000*1</f>
        <v>2939.27</v>
      </c>
      <c r="F62" s="11">
        <v>9.06</v>
      </c>
      <c r="G62" s="109">
        <f t="shared" si="0"/>
        <v>26629.786200000002</v>
      </c>
      <c r="H62" s="130">
        <f t="shared" si="1"/>
        <v>3.8203343279870241E-3</v>
      </c>
    </row>
    <row r="63" spans="1:8" ht="25.5" x14ac:dyDescent="0.25">
      <c r="A63" s="110">
        <f t="shared" si="2"/>
        <v>46</v>
      </c>
      <c r="B63" s="8" t="s">
        <v>208</v>
      </c>
      <c r="C63" s="9" t="s">
        <v>206</v>
      </c>
      <c r="D63" s="11" t="s">
        <v>13</v>
      </c>
      <c r="E63" s="11">
        <f>+((E38*1.6+E39*2)+(E41*1.8*1.8+E41*2*2))*1.5</f>
        <v>404.58000000000004</v>
      </c>
      <c r="F63" s="11">
        <v>3.67</v>
      </c>
      <c r="G63" s="109">
        <f t="shared" si="0"/>
        <v>1484.8086000000001</v>
      </c>
      <c r="H63" s="130">
        <f t="shared" si="1"/>
        <v>2.1301204682861306E-4</v>
      </c>
    </row>
    <row r="64" spans="1:8" ht="25.5" x14ac:dyDescent="0.25">
      <c r="A64" s="110">
        <f t="shared" si="2"/>
        <v>47</v>
      </c>
      <c r="B64" s="8" t="s">
        <v>82</v>
      </c>
      <c r="C64" s="13" t="s">
        <v>115</v>
      </c>
      <c r="D64" s="11" t="s">
        <v>10</v>
      </c>
      <c r="E64" s="11">
        <f>(E36*0.8+E37*1.2+E38*1.6+E39*2)+E67</f>
        <v>3568</v>
      </c>
      <c r="F64" s="11">
        <v>11.97</v>
      </c>
      <c r="G64" s="109">
        <f t="shared" si="0"/>
        <v>42708.959999999999</v>
      </c>
      <c r="H64" s="134">
        <f t="shared" si="1"/>
        <v>6.127067817038076E-3</v>
      </c>
    </row>
    <row r="65" spans="1:8" ht="25.5" x14ac:dyDescent="0.25">
      <c r="A65" s="110">
        <f t="shared" si="2"/>
        <v>48</v>
      </c>
      <c r="B65" s="8" t="s">
        <v>189</v>
      </c>
      <c r="C65" s="9" t="s">
        <v>175</v>
      </c>
      <c r="D65" s="11" t="s">
        <v>13</v>
      </c>
      <c r="E65" s="11">
        <f>+(E36*0.8+E37*1.2+E38*1.6+E39*2)*2</f>
        <v>1136</v>
      </c>
      <c r="F65" s="11">
        <v>119.58</v>
      </c>
      <c r="G65" s="109">
        <f t="shared" si="0"/>
        <v>135842.88</v>
      </c>
      <c r="H65" s="134">
        <f t="shared" si="1"/>
        <v>1.9488148112755857E-2</v>
      </c>
    </row>
    <row r="66" spans="1:8" x14ac:dyDescent="0.25">
      <c r="A66" s="123"/>
      <c r="B66" s="124"/>
      <c r="C66" s="125" t="s">
        <v>277</v>
      </c>
      <c r="D66" s="124"/>
      <c r="E66" s="124"/>
      <c r="F66" s="124"/>
      <c r="G66" s="126">
        <f>SUM(G67)</f>
        <v>175500</v>
      </c>
      <c r="H66" s="130"/>
    </row>
    <row r="67" spans="1:8" ht="38.25" x14ac:dyDescent="0.25">
      <c r="A67" s="110">
        <f>+A65+1</f>
        <v>49</v>
      </c>
      <c r="B67" s="8" t="s">
        <v>83</v>
      </c>
      <c r="C67" s="9" t="s">
        <v>116</v>
      </c>
      <c r="D67" s="11" t="s">
        <v>10</v>
      </c>
      <c r="E67" s="11">
        <v>3000</v>
      </c>
      <c r="F67" s="11">
        <v>58.5</v>
      </c>
      <c r="G67" s="109">
        <f t="shared" si="0"/>
        <v>175500</v>
      </c>
      <c r="H67" s="134">
        <f t="shared" si="1"/>
        <v>2.517739607544137E-2</v>
      </c>
    </row>
    <row r="68" spans="1:8" x14ac:dyDescent="0.25">
      <c r="A68" s="123"/>
      <c r="B68" s="124"/>
      <c r="C68" s="125" t="s">
        <v>278</v>
      </c>
      <c r="D68" s="124"/>
      <c r="E68" s="124"/>
      <c r="F68" s="124"/>
      <c r="G68" s="126">
        <f>SUM(G69:G76)</f>
        <v>626797.39999999991</v>
      </c>
      <c r="H68" s="130"/>
    </row>
    <row r="69" spans="1:8" ht="25.5" x14ac:dyDescent="0.25">
      <c r="A69" s="110">
        <f>+A67+1</f>
        <v>50</v>
      </c>
      <c r="B69" s="8" t="s">
        <v>84</v>
      </c>
      <c r="C69" s="9" t="s">
        <v>117</v>
      </c>
      <c r="D69" s="11" t="s">
        <v>8</v>
      </c>
      <c r="E69" s="11">
        <v>750</v>
      </c>
      <c r="F69" s="11">
        <v>16.32</v>
      </c>
      <c r="G69" s="109">
        <f t="shared" si="0"/>
        <v>12240</v>
      </c>
      <c r="H69" s="130">
        <f t="shared" si="1"/>
        <v>1.7559619826974493E-3</v>
      </c>
    </row>
    <row r="70" spans="1:8" ht="38.25" x14ac:dyDescent="0.25">
      <c r="A70" s="110">
        <f t="shared" si="2"/>
        <v>51</v>
      </c>
      <c r="B70" s="8" t="s">
        <v>85</v>
      </c>
      <c r="C70" s="9" t="s">
        <v>118</v>
      </c>
      <c r="D70" s="11" t="s">
        <v>13</v>
      </c>
      <c r="E70" s="11">
        <v>350</v>
      </c>
      <c r="F70" s="11">
        <v>163.62</v>
      </c>
      <c r="G70" s="109">
        <f t="shared" si="0"/>
        <v>57267</v>
      </c>
      <c r="H70" s="130">
        <f t="shared" si="1"/>
        <v>8.2155780116940219E-3</v>
      </c>
    </row>
    <row r="71" spans="1:8" ht="38.25" x14ac:dyDescent="0.25">
      <c r="A71" s="110">
        <f t="shared" si="2"/>
        <v>52</v>
      </c>
      <c r="B71" s="8" t="s">
        <v>86</v>
      </c>
      <c r="C71" s="9" t="s">
        <v>119</v>
      </c>
      <c r="D71" s="11" t="s">
        <v>10</v>
      </c>
      <c r="E71" s="11">
        <v>2250</v>
      </c>
      <c r="F71" s="11">
        <v>28.72</v>
      </c>
      <c r="G71" s="109">
        <f t="shared" si="0"/>
        <v>64620</v>
      </c>
      <c r="H71" s="130">
        <f t="shared" si="1"/>
        <v>9.2704463498291811E-3</v>
      </c>
    </row>
    <row r="72" spans="1:8" x14ac:dyDescent="0.25">
      <c r="A72" s="110">
        <f t="shared" si="2"/>
        <v>53</v>
      </c>
      <c r="B72" s="8" t="s">
        <v>87</v>
      </c>
      <c r="C72" s="9" t="s">
        <v>98</v>
      </c>
      <c r="D72" s="11" t="s">
        <v>13</v>
      </c>
      <c r="E72" s="11">
        <f>+E30*0.3</f>
        <v>3000</v>
      </c>
      <c r="F72" s="11">
        <v>113.45</v>
      </c>
      <c r="G72" s="109">
        <f t="shared" si="0"/>
        <v>340350</v>
      </c>
      <c r="H72" s="134">
        <f t="shared" si="1"/>
        <v>4.8826933072800401E-2</v>
      </c>
    </row>
    <row r="73" spans="1:8" ht="51" x14ac:dyDescent="0.25">
      <c r="A73" s="110">
        <f t="shared" si="2"/>
        <v>54</v>
      </c>
      <c r="B73" s="8" t="s">
        <v>163</v>
      </c>
      <c r="C73" s="9" t="s">
        <v>159</v>
      </c>
      <c r="D73" s="11" t="s">
        <v>151</v>
      </c>
      <c r="E73" s="11">
        <v>120</v>
      </c>
      <c r="F73" s="11">
        <v>198.06</v>
      </c>
      <c r="G73" s="109">
        <f t="shared" si="0"/>
        <v>23767.200000000001</v>
      </c>
      <c r="H73" s="130">
        <f t="shared" si="1"/>
        <v>3.4096650028731059E-3</v>
      </c>
    </row>
    <row r="74" spans="1:8" ht="38.25" x14ac:dyDescent="0.25">
      <c r="A74" s="110">
        <f t="shared" si="2"/>
        <v>55</v>
      </c>
      <c r="B74" s="8" t="s">
        <v>164</v>
      </c>
      <c r="C74" s="9" t="s">
        <v>160</v>
      </c>
      <c r="D74" s="11" t="s">
        <v>151</v>
      </c>
      <c r="E74" s="11">
        <v>150</v>
      </c>
      <c r="F74" s="11">
        <v>275.56</v>
      </c>
      <c r="G74" s="109">
        <f t="shared" si="0"/>
        <v>41334</v>
      </c>
      <c r="H74" s="130">
        <f t="shared" si="1"/>
        <v>5.9298147543150629E-3</v>
      </c>
    </row>
    <row r="75" spans="1:8" ht="51" x14ac:dyDescent="0.25">
      <c r="A75" s="110">
        <f t="shared" si="2"/>
        <v>56</v>
      </c>
      <c r="B75" s="8" t="s">
        <v>165</v>
      </c>
      <c r="C75" s="9" t="s">
        <v>161</v>
      </c>
      <c r="D75" s="11" t="s">
        <v>151</v>
      </c>
      <c r="E75" s="11">
        <v>80</v>
      </c>
      <c r="F75" s="11">
        <v>282.99</v>
      </c>
      <c r="G75" s="109">
        <f t="shared" si="0"/>
        <v>22639.200000000001</v>
      </c>
      <c r="H75" s="130">
        <f t="shared" si="1"/>
        <v>3.2478410554480468E-3</v>
      </c>
    </row>
    <row r="76" spans="1:8" ht="38.25" x14ac:dyDescent="0.25">
      <c r="A76" s="110">
        <f t="shared" si="2"/>
        <v>57</v>
      </c>
      <c r="B76" s="8" t="s">
        <v>166</v>
      </c>
      <c r="C76" s="9" t="s">
        <v>162</v>
      </c>
      <c r="D76" s="11" t="s">
        <v>151</v>
      </c>
      <c r="E76" s="11">
        <v>250</v>
      </c>
      <c r="F76" s="11">
        <v>258.32</v>
      </c>
      <c r="G76" s="109">
        <f t="shared" si="0"/>
        <v>64580</v>
      </c>
      <c r="H76" s="130">
        <f t="shared" si="1"/>
        <v>9.2647079119772286E-3</v>
      </c>
    </row>
    <row r="77" spans="1:8" x14ac:dyDescent="0.25">
      <c r="A77" s="123"/>
      <c r="B77" s="124"/>
      <c r="C77" s="125" t="s">
        <v>279</v>
      </c>
      <c r="D77" s="124"/>
      <c r="E77" s="124"/>
      <c r="F77" s="124"/>
      <c r="G77" s="126">
        <f>SUM(G78)</f>
        <v>19117.5</v>
      </c>
      <c r="H77" s="130"/>
    </row>
    <row r="78" spans="1:8" ht="25.5" x14ac:dyDescent="0.25">
      <c r="A78" s="110">
        <f>+A76+1</f>
        <v>58</v>
      </c>
      <c r="B78" s="8" t="s">
        <v>209</v>
      </c>
      <c r="C78" s="9" t="s">
        <v>210</v>
      </c>
      <c r="D78" s="11" t="s">
        <v>10</v>
      </c>
      <c r="E78" s="11">
        <v>250</v>
      </c>
      <c r="F78" s="11">
        <v>76.47</v>
      </c>
      <c r="G78" s="109">
        <f t="shared" ref="G78:G81" si="3">+F78*E78</f>
        <v>19117.5</v>
      </c>
      <c r="H78" s="134">
        <f t="shared" ref="H78:H81" si="4">+G78/$G$82</f>
        <v>2.7426146408675235E-3</v>
      </c>
    </row>
    <row r="79" spans="1:8" x14ac:dyDescent="0.25">
      <c r="A79" s="123"/>
      <c r="B79" s="124"/>
      <c r="C79" s="125" t="s">
        <v>280</v>
      </c>
      <c r="D79" s="124"/>
      <c r="E79" s="124"/>
      <c r="F79" s="124"/>
      <c r="G79" s="126">
        <f>SUM(G80:G81)</f>
        <v>659995.76470000006</v>
      </c>
      <c r="H79" s="130"/>
    </row>
    <row r="80" spans="1:8" ht="51" x14ac:dyDescent="0.25">
      <c r="A80" s="110">
        <f>+A78+1</f>
        <v>59</v>
      </c>
      <c r="B80" s="8" t="s">
        <v>88</v>
      </c>
      <c r="C80" s="9" t="s">
        <v>120</v>
      </c>
      <c r="D80" s="11" t="s">
        <v>12</v>
      </c>
      <c r="E80" s="11">
        <f>+((E81+(E32*2.3))*15)+((E28*30))</f>
        <v>218481.45</v>
      </c>
      <c r="F80" s="11">
        <v>2.4300000000000002</v>
      </c>
      <c r="G80" s="109">
        <f t="shared" si="3"/>
        <v>530909.92350000003</v>
      </c>
      <c r="H80" s="134">
        <f t="shared" si="4"/>
        <v>7.6164840024739472E-2</v>
      </c>
    </row>
    <row r="81" spans="1:8" ht="51" x14ac:dyDescent="0.25">
      <c r="A81" s="110">
        <f t="shared" si="2"/>
        <v>60</v>
      </c>
      <c r="B81" s="8" t="s">
        <v>89</v>
      </c>
      <c r="C81" s="9" t="s">
        <v>121</v>
      </c>
      <c r="D81" s="11" t="s">
        <v>11</v>
      </c>
      <c r="E81" s="11">
        <f>((E61+E62+E63)*1.8+(E70+E71*0.1)*2.3)</f>
        <v>7665.43</v>
      </c>
      <c r="F81" s="11">
        <v>16.84</v>
      </c>
      <c r="G81" s="109">
        <f t="shared" si="3"/>
        <v>129085.84120000001</v>
      </c>
      <c r="H81" s="134">
        <f t="shared" si="4"/>
        <v>1.8518776932330075E-2</v>
      </c>
    </row>
    <row r="82" spans="1:8" x14ac:dyDescent="0.25">
      <c r="A82" s="110"/>
      <c r="B82" s="8"/>
      <c r="C82" s="9"/>
      <c r="D82" s="11"/>
      <c r="E82" s="11"/>
      <c r="F82" s="11" t="s">
        <v>9</v>
      </c>
      <c r="G82" s="126">
        <f>+G12+G23+G35+G47+G56+G60+G66+G68+G77+G79</f>
        <v>6970538.1554999994</v>
      </c>
      <c r="H82" s="132"/>
    </row>
    <row r="83" spans="1:8" x14ac:dyDescent="0.25">
      <c r="A83" s="110"/>
      <c r="B83" s="8"/>
      <c r="C83" s="9"/>
      <c r="D83" s="11"/>
      <c r="E83" s="11"/>
      <c r="F83" s="11" t="s">
        <v>202</v>
      </c>
      <c r="G83" s="129">
        <v>0.28570000000000001</v>
      </c>
      <c r="H83" s="133"/>
    </row>
    <row r="84" spans="1:8" x14ac:dyDescent="0.25">
      <c r="A84" s="110"/>
      <c r="B84" s="8"/>
      <c r="C84" s="9"/>
      <c r="D84" s="11"/>
      <c r="E84" s="11"/>
      <c r="F84" s="11" t="s">
        <v>9</v>
      </c>
      <c r="G84" s="126">
        <f>+G82*(1+G83)</f>
        <v>8962020.9065263495</v>
      </c>
      <c r="H84" s="132"/>
    </row>
    <row r="85" spans="1:8" x14ac:dyDescent="0.25">
      <c r="A85" s="10"/>
      <c r="B85" s="10"/>
      <c r="C85" s="10"/>
      <c r="D85" s="10"/>
      <c r="E85" s="10"/>
      <c r="F85" s="10"/>
      <c r="G85" s="10"/>
      <c r="H85" s="10"/>
    </row>
    <row r="86" spans="1:8" x14ac:dyDescent="0.25">
      <c r="A86" s="10"/>
      <c r="B86" s="10"/>
      <c r="C86" s="10"/>
      <c r="D86" s="10"/>
      <c r="E86" s="10"/>
      <c r="F86" s="10"/>
      <c r="G86" s="131"/>
      <c r="H86" s="10"/>
    </row>
    <row r="87" spans="1:8" x14ac:dyDescent="0.25">
      <c r="A87" s="10"/>
      <c r="B87" s="10"/>
      <c r="C87" s="10"/>
      <c r="D87" s="10"/>
      <c r="E87" s="10"/>
      <c r="F87" s="10"/>
      <c r="G87" s="135"/>
      <c r="H87" s="10"/>
    </row>
    <row r="88" spans="1:8" x14ac:dyDescent="0.25">
      <c r="A88" s="10"/>
      <c r="B88" s="10"/>
      <c r="C88" s="10"/>
      <c r="D88" s="10"/>
      <c r="E88" s="10"/>
      <c r="F88" s="10"/>
      <c r="G88" s="10"/>
      <c r="H88" s="10"/>
    </row>
    <row r="89" spans="1:8" x14ac:dyDescent="0.25">
      <c r="A89" s="10"/>
      <c r="B89" s="10"/>
      <c r="C89" s="10"/>
      <c r="D89" s="10"/>
      <c r="E89" s="10"/>
      <c r="F89" s="10"/>
      <c r="G89" s="10"/>
      <c r="H89" s="10"/>
    </row>
    <row r="90" spans="1:8" x14ac:dyDescent="0.25">
      <c r="A90" s="10"/>
      <c r="B90" s="10"/>
      <c r="C90" s="10"/>
      <c r="D90" s="10"/>
      <c r="E90" s="10"/>
      <c r="F90" s="10"/>
      <c r="G90" s="10"/>
      <c r="H90" s="10"/>
    </row>
    <row r="91" spans="1:8" x14ac:dyDescent="0.25">
      <c r="A91" s="10"/>
      <c r="B91" s="10"/>
      <c r="C91" s="10"/>
      <c r="D91" s="10"/>
      <c r="E91" s="10"/>
      <c r="F91" s="10"/>
      <c r="G91" s="10"/>
      <c r="H91" s="10"/>
    </row>
    <row r="92" spans="1:8" x14ac:dyDescent="0.25">
      <c r="A92" s="10"/>
      <c r="B92" s="10"/>
      <c r="C92" s="10"/>
      <c r="D92" s="10"/>
      <c r="E92" s="10"/>
      <c r="F92" s="10"/>
      <c r="G92" s="10"/>
      <c r="H92" s="10"/>
    </row>
    <row r="93" spans="1:8" x14ac:dyDescent="0.25">
      <c r="A93" s="10"/>
      <c r="B93" s="10"/>
      <c r="C93" s="10"/>
      <c r="D93" s="10"/>
      <c r="E93" s="10"/>
      <c r="F93" s="10"/>
      <c r="G93" s="10"/>
      <c r="H93" s="10"/>
    </row>
    <row r="94" spans="1:8" x14ac:dyDescent="0.25">
      <c r="A94" s="10"/>
      <c r="B94" s="10"/>
      <c r="C94" s="10"/>
      <c r="D94" s="10"/>
      <c r="E94" s="10"/>
      <c r="F94" s="10"/>
      <c r="G94" s="10"/>
      <c r="H94" s="10"/>
    </row>
    <row r="95" spans="1:8" x14ac:dyDescent="0.25">
      <c r="A95" s="10"/>
      <c r="B95" s="10"/>
      <c r="C95" s="10"/>
      <c r="D95" s="10"/>
      <c r="E95" s="10"/>
      <c r="F95" s="10"/>
      <c r="G95" s="10"/>
      <c r="H95" s="10"/>
    </row>
    <row r="96" spans="1:8" x14ac:dyDescent="0.25">
      <c r="A96" s="10"/>
      <c r="B96" s="10"/>
      <c r="C96" s="10"/>
      <c r="D96" s="10"/>
      <c r="E96" s="10"/>
      <c r="F96" s="10"/>
      <c r="G96" s="10"/>
      <c r="H96" s="10"/>
    </row>
    <row r="97" spans="1:8" x14ac:dyDescent="0.25">
      <c r="A97" s="10"/>
      <c r="B97" s="10"/>
      <c r="C97" s="10"/>
      <c r="D97" s="10"/>
      <c r="E97" s="10"/>
      <c r="F97" s="10"/>
      <c r="G97" s="10"/>
      <c r="H97" s="10"/>
    </row>
    <row r="98" spans="1:8" x14ac:dyDescent="0.25">
      <c r="A98" s="10"/>
      <c r="B98" s="10"/>
      <c r="C98" s="10"/>
      <c r="D98" s="10"/>
      <c r="E98" s="10"/>
      <c r="F98" s="10"/>
      <c r="G98" s="10"/>
      <c r="H98" s="10"/>
    </row>
    <row r="99" spans="1:8" x14ac:dyDescent="0.25">
      <c r="A99" s="10"/>
      <c r="B99" s="10"/>
      <c r="C99" s="10"/>
      <c r="D99" s="10"/>
      <c r="E99" s="10"/>
      <c r="F99" s="10"/>
      <c r="G99" s="10"/>
      <c r="H99" s="10"/>
    </row>
    <row r="100" spans="1:8" x14ac:dyDescent="0.25">
      <c r="A100" s="10"/>
      <c r="B100" s="10"/>
      <c r="C100" s="10"/>
      <c r="D100" s="10"/>
      <c r="E100" s="10"/>
      <c r="F100" s="10"/>
      <c r="G100" s="10"/>
      <c r="H100" s="10"/>
    </row>
    <row r="101" spans="1:8" x14ac:dyDescent="0.25">
      <c r="A101" s="10"/>
      <c r="B101" s="10"/>
      <c r="C101" s="10"/>
      <c r="D101" s="10"/>
      <c r="E101" s="10"/>
      <c r="F101" s="10"/>
      <c r="G101" s="10"/>
      <c r="H101" s="10"/>
    </row>
    <row r="102" spans="1:8" x14ac:dyDescent="0.25">
      <c r="A102" s="10"/>
      <c r="B102" s="10"/>
      <c r="C102" s="10"/>
      <c r="D102" s="10"/>
      <c r="E102" s="10"/>
      <c r="F102" s="10"/>
      <c r="G102" s="10"/>
      <c r="H102" s="10"/>
    </row>
    <row r="103" spans="1:8" x14ac:dyDescent="0.25">
      <c r="A103" s="10"/>
      <c r="B103" s="10"/>
      <c r="C103" s="10"/>
      <c r="D103" s="10"/>
      <c r="E103" s="10"/>
      <c r="F103" s="10"/>
      <c r="G103" s="10"/>
      <c r="H103" s="10"/>
    </row>
    <row r="104" spans="1:8" x14ac:dyDescent="0.25">
      <c r="A104" s="10"/>
      <c r="B104" s="10"/>
      <c r="C104" s="10"/>
      <c r="D104" s="10"/>
      <c r="E104" s="10"/>
      <c r="F104" s="10"/>
      <c r="G104" s="10"/>
      <c r="H104" s="10"/>
    </row>
    <row r="105" spans="1:8" x14ac:dyDescent="0.25">
      <c r="A105" s="10"/>
      <c r="B105" s="10"/>
      <c r="C105" s="10"/>
      <c r="D105" s="10"/>
      <c r="E105" s="10"/>
      <c r="F105" s="10"/>
      <c r="G105" s="10"/>
      <c r="H105" s="10"/>
    </row>
    <row r="106" spans="1:8" x14ac:dyDescent="0.25">
      <c r="A106" s="10"/>
      <c r="B106" s="10"/>
      <c r="C106" s="10"/>
      <c r="D106" s="10"/>
      <c r="E106" s="10"/>
      <c r="F106" s="10"/>
      <c r="G106" s="10"/>
      <c r="H106" s="10"/>
    </row>
    <row r="107" spans="1:8" x14ac:dyDescent="0.25">
      <c r="A107" s="10"/>
      <c r="B107" s="10"/>
      <c r="C107" s="10"/>
      <c r="D107" s="10"/>
      <c r="E107" s="10"/>
      <c r="F107" s="10"/>
      <c r="G107" s="10"/>
      <c r="H107" s="10"/>
    </row>
    <row r="108" spans="1:8" x14ac:dyDescent="0.25">
      <c r="A108" s="10"/>
      <c r="B108" s="10"/>
      <c r="C108" s="10"/>
      <c r="D108" s="10"/>
      <c r="E108" s="10"/>
      <c r="F108" s="10"/>
      <c r="G108" s="10"/>
      <c r="H108" s="10"/>
    </row>
    <row r="109" spans="1:8" x14ac:dyDescent="0.25">
      <c r="A109" s="10"/>
      <c r="B109" s="10"/>
      <c r="C109" s="10"/>
      <c r="D109" s="10"/>
      <c r="E109" s="10"/>
      <c r="F109" s="10"/>
      <c r="G109" s="10"/>
      <c r="H109" s="10"/>
    </row>
    <row r="110" spans="1:8" x14ac:dyDescent="0.25">
      <c r="A110" s="10"/>
      <c r="B110" s="10"/>
      <c r="C110" s="10"/>
      <c r="D110" s="10"/>
      <c r="E110" s="10"/>
      <c r="F110" s="10"/>
      <c r="G110" s="10"/>
      <c r="H110" s="10"/>
    </row>
    <row r="111" spans="1:8" x14ac:dyDescent="0.25">
      <c r="A111" s="10"/>
      <c r="B111" s="10"/>
      <c r="C111" s="10"/>
      <c r="D111" s="10"/>
      <c r="E111" s="10"/>
      <c r="F111" s="10"/>
      <c r="G111" s="10"/>
      <c r="H111" s="10"/>
    </row>
    <row r="112" spans="1:8" x14ac:dyDescent="0.25">
      <c r="A112" s="10"/>
      <c r="B112" s="10"/>
      <c r="C112" s="10"/>
      <c r="D112" s="10"/>
      <c r="E112" s="10"/>
      <c r="F112" s="10"/>
      <c r="G112" s="10"/>
      <c r="H112" s="10"/>
    </row>
    <row r="113" spans="1:8" x14ac:dyDescent="0.25">
      <c r="A113" s="10"/>
      <c r="B113" s="10"/>
      <c r="C113" s="10"/>
      <c r="D113" s="10"/>
      <c r="E113" s="10"/>
      <c r="F113" s="10"/>
      <c r="G113" s="10"/>
      <c r="H113" s="10"/>
    </row>
    <row r="114" spans="1:8" x14ac:dyDescent="0.25">
      <c r="A114" s="10"/>
      <c r="B114" s="10"/>
      <c r="C114" s="10"/>
      <c r="D114" s="10"/>
      <c r="E114" s="10"/>
      <c r="F114" s="10"/>
      <c r="G114" s="10"/>
      <c r="H114" s="10"/>
    </row>
    <row r="115" spans="1:8" x14ac:dyDescent="0.25">
      <c r="A115" s="10"/>
      <c r="B115" s="10"/>
      <c r="C115" s="10"/>
      <c r="D115" s="10"/>
      <c r="E115" s="10"/>
      <c r="F115" s="10"/>
      <c r="G115" s="10"/>
      <c r="H115" s="10"/>
    </row>
    <row r="116" spans="1:8" x14ac:dyDescent="0.25">
      <c r="A116" s="10"/>
      <c r="B116" s="10"/>
      <c r="C116" s="10"/>
      <c r="D116" s="10"/>
      <c r="E116" s="10"/>
      <c r="F116" s="10"/>
      <c r="G116" s="10"/>
      <c r="H116" s="10"/>
    </row>
    <row r="117" spans="1:8" x14ac:dyDescent="0.25">
      <c r="A117" s="10"/>
      <c r="B117" s="10"/>
      <c r="C117" s="10"/>
      <c r="D117" s="10"/>
      <c r="E117" s="10"/>
      <c r="F117" s="10"/>
      <c r="G117" s="10"/>
      <c r="H117" s="10"/>
    </row>
    <row r="118" spans="1:8" x14ac:dyDescent="0.25">
      <c r="A118" s="10"/>
      <c r="B118" s="10"/>
      <c r="C118" s="10"/>
      <c r="D118" s="10"/>
      <c r="E118" s="10"/>
      <c r="F118" s="10"/>
      <c r="G118" s="10"/>
      <c r="H118" s="10"/>
    </row>
    <row r="119" spans="1:8" x14ac:dyDescent="0.25">
      <c r="A119" s="10"/>
      <c r="B119" s="10"/>
      <c r="C119" s="10"/>
      <c r="D119" s="10"/>
      <c r="E119" s="10"/>
      <c r="F119" s="10"/>
      <c r="G119" s="10"/>
      <c r="H119" s="10"/>
    </row>
    <row r="120" spans="1:8" x14ac:dyDescent="0.25">
      <c r="A120" s="10"/>
      <c r="B120" s="10"/>
      <c r="C120" s="10"/>
      <c r="D120" s="10"/>
      <c r="E120" s="10"/>
      <c r="F120" s="10"/>
      <c r="G120" s="10"/>
      <c r="H120" s="10"/>
    </row>
    <row r="121" spans="1:8" x14ac:dyDescent="0.25">
      <c r="A121" s="10"/>
      <c r="B121" s="10"/>
      <c r="C121" s="10"/>
      <c r="D121" s="10"/>
      <c r="E121" s="10"/>
      <c r="F121" s="10"/>
      <c r="G121" s="10"/>
      <c r="H121" s="10"/>
    </row>
    <row r="122" spans="1:8" x14ac:dyDescent="0.25">
      <c r="A122" s="10"/>
      <c r="B122" s="10"/>
      <c r="C122" s="10"/>
      <c r="D122" s="10"/>
      <c r="E122" s="10"/>
      <c r="F122" s="10"/>
      <c r="G122" s="10"/>
      <c r="H122" s="10"/>
    </row>
    <row r="123" spans="1:8" x14ac:dyDescent="0.25">
      <c r="A123" s="10"/>
      <c r="B123" s="10"/>
      <c r="C123" s="10"/>
      <c r="D123" s="10"/>
      <c r="E123" s="10"/>
      <c r="F123" s="10"/>
      <c r="G123" s="10"/>
      <c r="H123" s="10"/>
    </row>
    <row r="124" spans="1:8" x14ac:dyDescent="0.25">
      <c r="A124" s="10"/>
      <c r="B124" s="10"/>
      <c r="C124" s="10"/>
      <c r="D124" s="10"/>
      <c r="E124" s="10"/>
      <c r="F124" s="10"/>
      <c r="G124" s="10"/>
      <c r="H124" s="10"/>
    </row>
    <row r="125" spans="1:8" x14ac:dyDescent="0.25">
      <c r="A125" s="10"/>
      <c r="B125" s="10"/>
      <c r="C125" s="10"/>
      <c r="D125" s="10"/>
      <c r="E125" s="10"/>
      <c r="F125" s="10"/>
      <c r="G125" s="10"/>
      <c r="H125" s="10"/>
    </row>
    <row r="126" spans="1:8" x14ac:dyDescent="0.25">
      <c r="A126" s="10"/>
      <c r="B126" s="10"/>
      <c r="C126" s="10"/>
      <c r="D126" s="10"/>
      <c r="E126" s="10"/>
      <c r="F126" s="10"/>
      <c r="G126" s="10"/>
      <c r="H126" s="10"/>
    </row>
    <row r="127" spans="1:8" x14ac:dyDescent="0.25">
      <c r="A127" s="10"/>
      <c r="B127" s="10"/>
      <c r="C127" s="10"/>
      <c r="D127" s="10"/>
      <c r="E127" s="10"/>
      <c r="F127" s="10"/>
      <c r="G127" s="10"/>
      <c r="H127" s="10"/>
    </row>
    <row r="128" spans="1:8" x14ac:dyDescent="0.25">
      <c r="A128" s="10"/>
      <c r="B128" s="10"/>
      <c r="C128" s="10"/>
      <c r="D128" s="10"/>
      <c r="E128" s="10"/>
      <c r="F128" s="10"/>
      <c r="G128" s="10"/>
      <c r="H128" s="10"/>
    </row>
    <row r="129" spans="1:8" x14ac:dyDescent="0.25">
      <c r="A129" s="10"/>
      <c r="B129" s="10"/>
      <c r="C129" s="10"/>
      <c r="D129" s="10"/>
      <c r="E129" s="10"/>
      <c r="F129" s="10"/>
      <c r="G129" s="10"/>
      <c r="H129" s="10"/>
    </row>
    <row r="130" spans="1:8" x14ac:dyDescent="0.25">
      <c r="A130" s="10"/>
      <c r="B130" s="10"/>
      <c r="C130" s="10"/>
      <c r="D130" s="10"/>
      <c r="E130" s="10"/>
      <c r="F130" s="10"/>
      <c r="G130" s="10"/>
      <c r="H130" s="10"/>
    </row>
    <row r="131" spans="1:8" x14ac:dyDescent="0.25">
      <c r="A131" s="10"/>
      <c r="B131" s="10"/>
      <c r="C131" s="10"/>
      <c r="D131" s="10"/>
      <c r="E131" s="10"/>
      <c r="F131" s="10"/>
      <c r="G131" s="10"/>
      <c r="H131" s="10"/>
    </row>
    <row r="132" spans="1:8" x14ac:dyDescent="0.25">
      <c r="A132" s="10"/>
      <c r="B132" s="10"/>
      <c r="C132" s="10"/>
      <c r="D132" s="10"/>
      <c r="E132" s="10"/>
      <c r="F132" s="10"/>
      <c r="G132" s="10"/>
      <c r="H132" s="10"/>
    </row>
    <row r="133" spans="1:8" x14ac:dyDescent="0.25">
      <c r="A133" s="10"/>
      <c r="B133" s="10"/>
      <c r="C133" s="10"/>
      <c r="D133" s="10"/>
      <c r="E133" s="10"/>
      <c r="F133" s="10"/>
      <c r="G133" s="10"/>
      <c r="H133" s="10"/>
    </row>
    <row r="134" spans="1:8" x14ac:dyDescent="0.25">
      <c r="A134" s="10"/>
      <c r="B134" s="10"/>
      <c r="C134" s="10"/>
      <c r="D134" s="10"/>
      <c r="E134" s="10"/>
      <c r="F134" s="10"/>
      <c r="G134" s="10"/>
      <c r="H134" s="10"/>
    </row>
    <row r="135" spans="1:8" x14ac:dyDescent="0.25">
      <c r="A135" s="10"/>
      <c r="B135" s="10"/>
      <c r="C135" s="10"/>
      <c r="D135" s="10"/>
      <c r="E135" s="10"/>
      <c r="F135" s="10"/>
      <c r="G135" s="10"/>
      <c r="H135" s="10"/>
    </row>
    <row r="136" spans="1:8" x14ac:dyDescent="0.25">
      <c r="A136" s="10"/>
      <c r="B136" s="10"/>
      <c r="C136" s="10"/>
      <c r="D136" s="10"/>
      <c r="E136" s="10"/>
      <c r="F136" s="10"/>
      <c r="G136" s="10"/>
      <c r="H136" s="10"/>
    </row>
    <row r="137" spans="1:8" x14ac:dyDescent="0.25">
      <c r="A137" s="10"/>
      <c r="B137" s="10"/>
      <c r="C137" s="10"/>
      <c r="D137" s="10"/>
      <c r="E137" s="10"/>
      <c r="F137" s="10"/>
      <c r="G137" s="10"/>
      <c r="H137" s="10"/>
    </row>
    <row r="138" spans="1:8" x14ac:dyDescent="0.25">
      <c r="A138" s="10"/>
      <c r="B138" s="10"/>
      <c r="C138" s="10"/>
      <c r="D138" s="10"/>
      <c r="E138" s="10"/>
      <c r="F138" s="10"/>
      <c r="G138" s="10"/>
      <c r="H138" s="10"/>
    </row>
    <row r="139" spans="1:8" x14ac:dyDescent="0.25">
      <c r="A139" s="10"/>
      <c r="B139" s="10"/>
      <c r="C139" s="10"/>
      <c r="D139" s="10"/>
      <c r="E139" s="10"/>
      <c r="F139" s="10"/>
      <c r="G139" s="10"/>
      <c r="H139" s="10"/>
    </row>
    <row r="140" spans="1:8" x14ac:dyDescent="0.25">
      <c r="A140" s="10"/>
      <c r="B140" s="10"/>
      <c r="C140" s="10"/>
      <c r="D140" s="10"/>
      <c r="E140" s="10"/>
      <c r="F140" s="10"/>
      <c r="G140" s="10"/>
      <c r="H140" s="10"/>
    </row>
    <row r="141" spans="1:8" x14ac:dyDescent="0.25">
      <c r="A141" s="10"/>
      <c r="B141" s="10"/>
      <c r="C141" s="10"/>
      <c r="D141" s="10"/>
      <c r="E141" s="10"/>
      <c r="F141" s="10"/>
      <c r="G141" s="10"/>
      <c r="H141" s="10"/>
    </row>
    <row r="142" spans="1:8" x14ac:dyDescent="0.25">
      <c r="A142" s="10"/>
      <c r="B142" s="10"/>
      <c r="C142" s="10"/>
      <c r="D142" s="10"/>
      <c r="E142" s="10"/>
      <c r="F142" s="10"/>
      <c r="G142" s="10"/>
      <c r="H142" s="10"/>
    </row>
    <row r="143" spans="1:8" x14ac:dyDescent="0.25">
      <c r="A143" s="10"/>
      <c r="B143" s="10"/>
      <c r="C143" s="10"/>
      <c r="D143" s="10"/>
      <c r="E143" s="10"/>
      <c r="F143" s="10"/>
      <c r="G143" s="10"/>
      <c r="H143" s="10"/>
    </row>
    <row r="144" spans="1:8" x14ac:dyDescent="0.25">
      <c r="A144" s="10"/>
      <c r="B144" s="10"/>
      <c r="C144" s="10"/>
      <c r="D144" s="10"/>
      <c r="E144" s="10"/>
      <c r="F144" s="10"/>
      <c r="G144" s="10"/>
      <c r="H144" s="10"/>
    </row>
    <row r="145" spans="1:8" x14ac:dyDescent="0.25">
      <c r="A145" s="10"/>
      <c r="B145" s="10"/>
      <c r="C145" s="10"/>
      <c r="D145" s="10"/>
      <c r="E145" s="10"/>
      <c r="F145" s="10"/>
      <c r="G145" s="10"/>
      <c r="H145" s="10"/>
    </row>
    <row r="146" spans="1:8" x14ac:dyDescent="0.25">
      <c r="A146" s="10"/>
      <c r="B146" s="10"/>
      <c r="C146" s="10"/>
      <c r="D146" s="10"/>
      <c r="E146" s="10"/>
      <c r="F146" s="10"/>
      <c r="G146" s="10"/>
      <c r="H146" s="10"/>
    </row>
    <row r="147" spans="1:8" x14ac:dyDescent="0.25">
      <c r="A147" s="10"/>
      <c r="B147" s="10"/>
      <c r="C147" s="10"/>
      <c r="D147" s="10"/>
      <c r="E147" s="10"/>
      <c r="F147" s="10"/>
      <c r="G147" s="10"/>
      <c r="H147" s="10"/>
    </row>
    <row r="148" spans="1:8" x14ac:dyDescent="0.25">
      <c r="A148" s="10"/>
      <c r="B148" s="10"/>
      <c r="C148" s="10"/>
      <c r="D148" s="10"/>
      <c r="E148" s="10"/>
      <c r="F148" s="10"/>
      <c r="G148" s="10"/>
      <c r="H148" s="10"/>
    </row>
    <row r="149" spans="1:8" x14ac:dyDescent="0.25">
      <c r="A149" s="10"/>
      <c r="B149" s="10"/>
      <c r="C149" s="10"/>
      <c r="D149" s="10"/>
      <c r="E149" s="10"/>
      <c r="F149" s="10"/>
      <c r="G149" s="10"/>
      <c r="H149" s="10"/>
    </row>
    <row r="150" spans="1:8" x14ac:dyDescent="0.25">
      <c r="A150" s="10"/>
      <c r="B150" s="10"/>
      <c r="C150" s="10"/>
      <c r="D150" s="10"/>
      <c r="E150" s="10"/>
      <c r="F150" s="10"/>
      <c r="G150" s="10"/>
      <c r="H150" s="10"/>
    </row>
    <row r="151" spans="1:8" x14ac:dyDescent="0.25">
      <c r="A151" s="10"/>
      <c r="B151" s="10"/>
      <c r="C151" s="10"/>
      <c r="D151" s="10"/>
      <c r="E151" s="10"/>
      <c r="F151" s="10"/>
      <c r="G151" s="10"/>
      <c r="H151" s="10"/>
    </row>
    <row r="152" spans="1:8" x14ac:dyDescent="0.25">
      <c r="A152" s="10"/>
      <c r="B152" s="10"/>
      <c r="C152" s="10"/>
      <c r="D152" s="10"/>
      <c r="E152" s="10"/>
      <c r="F152" s="10"/>
      <c r="G152" s="10"/>
      <c r="H152" s="10"/>
    </row>
    <row r="153" spans="1:8" x14ac:dyDescent="0.25">
      <c r="A153" s="10"/>
      <c r="B153" s="10"/>
      <c r="C153" s="10"/>
      <c r="D153" s="10"/>
      <c r="E153" s="10"/>
      <c r="F153" s="10"/>
      <c r="G153" s="10"/>
      <c r="H153" s="10"/>
    </row>
    <row r="154" spans="1:8" x14ac:dyDescent="0.25">
      <c r="A154" s="10"/>
      <c r="B154" s="10"/>
      <c r="C154" s="10"/>
      <c r="D154" s="10"/>
      <c r="E154" s="10"/>
      <c r="F154" s="10"/>
      <c r="G154" s="10"/>
      <c r="H154" s="10"/>
    </row>
    <row r="155" spans="1:8" x14ac:dyDescent="0.25">
      <c r="A155" s="10"/>
      <c r="B155" s="10"/>
      <c r="C155" s="10"/>
      <c r="D155" s="10"/>
      <c r="E155" s="10"/>
      <c r="F155" s="10"/>
      <c r="G155" s="10"/>
      <c r="H155" s="10"/>
    </row>
    <row r="156" spans="1:8" x14ac:dyDescent="0.25">
      <c r="A156" s="10"/>
      <c r="B156" s="10"/>
      <c r="C156" s="10"/>
      <c r="D156" s="10"/>
      <c r="E156" s="10"/>
      <c r="F156" s="10"/>
      <c r="G156" s="10"/>
      <c r="H156" s="10"/>
    </row>
    <row r="157" spans="1:8" x14ac:dyDescent="0.25">
      <c r="A157" s="10"/>
      <c r="B157" s="10"/>
      <c r="C157" s="10"/>
      <c r="D157" s="10"/>
      <c r="E157" s="10"/>
      <c r="F157" s="10"/>
      <c r="G157" s="10"/>
      <c r="H157" s="10"/>
    </row>
    <row r="158" spans="1:8" x14ac:dyDescent="0.25">
      <c r="A158" s="10"/>
      <c r="B158" s="10"/>
      <c r="C158" s="10"/>
      <c r="D158" s="10"/>
      <c r="E158" s="10"/>
      <c r="F158" s="10"/>
      <c r="G158" s="10"/>
      <c r="H158" s="10"/>
    </row>
    <row r="159" spans="1:8" x14ac:dyDescent="0.25">
      <c r="A159" s="10"/>
      <c r="B159" s="10"/>
      <c r="C159" s="10"/>
      <c r="D159" s="10"/>
      <c r="E159" s="10"/>
      <c r="F159" s="10"/>
      <c r="G159" s="10"/>
      <c r="H159" s="10"/>
    </row>
    <row r="160" spans="1:8" x14ac:dyDescent="0.25">
      <c r="A160" s="10"/>
      <c r="B160" s="10"/>
      <c r="C160" s="10"/>
      <c r="D160" s="10"/>
      <c r="E160" s="10"/>
      <c r="F160" s="10"/>
      <c r="G160" s="10"/>
      <c r="H160" s="10"/>
    </row>
    <row r="161" spans="1:8" x14ac:dyDescent="0.25">
      <c r="A161" s="10"/>
      <c r="B161" s="10"/>
      <c r="C161" s="10"/>
      <c r="D161" s="10"/>
      <c r="E161" s="10"/>
      <c r="F161" s="10"/>
      <c r="G161" s="10"/>
      <c r="H161" s="10"/>
    </row>
    <row r="162" spans="1:8" x14ac:dyDescent="0.25">
      <c r="A162" s="10"/>
      <c r="B162" s="10"/>
      <c r="C162" s="10"/>
      <c r="D162" s="10"/>
      <c r="E162" s="10"/>
      <c r="F162" s="10"/>
      <c r="G162" s="10"/>
      <c r="H162" s="10"/>
    </row>
    <row r="163" spans="1:8" x14ac:dyDescent="0.25">
      <c r="A163" s="10"/>
      <c r="B163" s="10"/>
      <c r="C163" s="10"/>
      <c r="D163" s="10"/>
      <c r="E163" s="10"/>
      <c r="F163" s="10"/>
      <c r="G163" s="10"/>
      <c r="H163" s="10"/>
    </row>
    <row r="164" spans="1:8" x14ac:dyDescent="0.25">
      <c r="A164" s="10"/>
      <c r="B164" s="10"/>
      <c r="C164" s="10"/>
      <c r="D164" s="10"/>
      <c r="E164" s="10"/>
      <c r="F164" s="10"/>
      <c r="G164" s="10"/>
      <c r="H164" s="10"/>
    </row>
    <row r="165" spans="1:8" x14ac:dyDescent="0.25">
      <c r="A165" s="10"/>
      <c r="B165" s="10"/>
      <c r="C165" s="10"/>
      <c r="D165" s="10"/>
      <c r="E165" s="10"/>
      <c r="F165" s="10"/>
      <c r="G165" s="10"/>
      <c r="H165" s="10"/>
    </row>
    <row r="166" spans="1:8" x14ac:dyDescent="0.25">
      <c r="A166" s="10"/>
      <c r="B166" s="10"/>
      <c r="C166" s="10"/>
      <c r="D166" s="10"/>
      <c r="E166" s="10"/>
      <c r="F166" s="10"/>
      <c r="G166" s="10"/>
      <c r="H166" s="10"/>
    </row>
    <row r="167" spans="1:8" x14ac:dyDescent="0.25">
      <c r="A167" s="10"/>
      <c r="B167" s="10"/>
      <c r="C167" s="10"/>
      <c r="D167" s="10"/>
      <c r="E167" s="10"/>
      <c r="F167" s="10"/>
      <c r="G167" s="10"/>
      <c r="H167" s="10"/>
    </row>
    <row r="168" spans="1:8" x14ac:dyDescent="0.25">
      <c r="A168" s="10"/>
      <c r="B168" s="10"/>
      <c r="C168" s="10"/>
      <c r="D168" s="10"/>
      <c r="E168" s="10"/>
      <c r="F168" s="10"/>
      <c r="G168" s="10"/>
      <c r="H168" s="10"/>
    </row>
    <row r="169" spans="1:8" x14ac:dyDescent="0.25">
      <c r="A169" s="10"/>
      <c r="B169" s="10"/>
      <c r="C169" s="10"/>
      <c r="D169" s="10"/>
      <c r="E169" s="10"/>
      <c r="F169" s="10"/>
      <c r="G169" s="10"/>
      <c r="H169" s="10"/>
    </row>
    <row r="170" spans="1:8" x14ac:dyDescent="0.25">
      <c r="A170" s="10"/>
      <c r="B170" s="10"/>
      <c r="C170" s="10"/>
      <c r="D170" s="10"/>
      <c r="E170" s="10"/>
      <c r="F170" s="10"/>
      <c r="G170" s="10"/>
      <c r="H170" s="10"/>
    </row>
    <row r="171" spans="1:8" x14ac:dyDescent="0.25">
      <c r="A171" s="10"/>
      <c r="B171" s="10"/>
      <c r="C171" s="10"/>
      <c r="D171" s="10"/>
      <c r="E171" s="10"/>
      <c r="F171" s="10"/>
      <c r="G171" s="10"/>
      <c r="H171" s="10"/>
    </row>
    <row r="172" spans="1:8" x14ac:dyDescent="0.25">
      <c r="A172" s="10"/>
      <c r="B172" s="10"/>
      <c r="C172" s="10"/>
      <c r="D172" s="10"/>
      <c r="E172" s="10"/>
      <c r="F172" s="10"/>
      <c r="G172" s="10"/>
      <c r="H172" s="10"/>
    </row>
    <row r="173" spans="1:8" x14ac:dyDescent="0.25">
      <c r="A173" s="10"/>
      <c r="B173" s="10"/>
      <c r="C173" s="10"/>
      <c r="D173" s="10"/>
      <c r="E173" s="10"/>
      <c r="F173" s="10"/>
      <c r="G173" s="10"/>
      <c r="H173" s="10"/>
    </row>
    <row r="174" spans="1:8" x14ac:dyDescent="0.25">
      <c r="A174" s="10"/>
      <c r="B174" s="10"/>
      <c r="C174" s="10"/>
      <c r="D174" s="10"/>
      <c r="E174" s="10"/>
      <c r="F174" s="10"/>
      <c r="G174" s="10"/>
      <c r="H174" s="10"/>
    </row>
    <row r="175" spans="1:8" x14ac:dyDescent="0.25">
      <c r="A175" s="10"/>
      <c r="B175" s="10"/>
      <c r="C175" s="10"/>
      <c r="D175" s="10"/>
      <c r="E175" s="10"/>
      <c r="F175" s="10"/>
      <c r="G175" s="10"/>
      <c r="H175" s="10"/>
    </row>
    <row r="176" spans="1:8" x14ac:dyDescent="0.25">
      <c r="A176" s="10"/>
      <c r="B176" s="10"/>
      <c r="C176" s="10"/>
      <c r="D176" s="10"/>
      <c r="E176" s="10"/>
      <c r="F176" s="10"/>
      <c r="G176" s="10"/>
      <c r="H176" s="10"/>
    </row>
    <row r="177" spans="1:8" x14ac:dyDescent="0.25">
      <c r="A177" s="10"/>
      <c r="B177" s="10"/>
      <c r="C177" s="10"/>
      <c r="D177" s="10"/>
      <c r="E177" s="10"/>
      <c r="F177" s="10"/>
      <c r="G177" s="10"/>
      <c r="H177" s="10"/>
    </row>
    <row r="178" spans="1:8" x14ac:dyDescent="0.25">
      <c r="A178" s="10"/>
      <c r="B178" s="10"/>
      <c r="C178" s="10"/>
      <c r="D178" s="10"/>
      <c r="E178" s="10"/>
      <c r="F178" s="10"/>
      <c r="G178" s="10"/>
      <c r="H178" s="10"/>
    </row>
    <row r="179" spans="1:8" x14ac:dyDescent="0.25">
      <c r="A179" s="10"/>
      <c r="B179" s="10"/>
      <c r="C179" s="10"/>
      <c r="D179" s="10"/>
      <c r="E179" s="10"/>
      <c r="F179" s="10"/>
      <c r="G179" s="10"/>
      <c r="H179" s="10"/>
    </row>
    <row r="180" spans="1:8" x14ac:dyDescent="0.25">
      <c r="A180" s="10"/>
      <c r="B180" s="10"/>
      <c r="C180" s="10"/>
      <c r="D180" s="10"/>
      <c r="E180" s="10"/>
      <c r="F180" s="10"/>
      <c r="G180" s="10"/>
      <c r="H180" s="10"/>
    </row>
    <row r="181" spans="1:8" x14ac:dyDescent="0.25">
      <c r="A181" s="10"/>
      <c r="B181" s="10"/>
      <c r="C181" s="10"/>
      <c r="D181" s="10"/>
      <c r="E181" s="10"/>
      <c r="F181" s="10"/>
      <c r="G181" s="10"/>
      <c r="H181" s="10"/>
    </row>
    <row r="182" spans="1:8" x14ac:dyDescent="0.25">
      <c r="A182" s="10"/>
      <c r="B182" s="10"/>
      <c r="C182" s="10"/>
      <c r="D182" s="10"/>
      <c r="E182" s="10"/>
      <c r="F182" s="10"/>
      <c r="G182" s="10"/>
      <c r="H182" s="10"/>
    </row>
    <row r="183" spans="1:8" x14ac:dyDescent="0.25">
      <c r="A183" s="10"/>
      <c r="B183" s="10"/>
      <c r="C183" s="10"/>
      <c r="D183" s="10"/>
      <c r="E183" s="10"/>
      <c r="F183" s="10"/>
      <c r="G183" s="10"/>
      <c r="H183" s="10"/>
    </row>
    <row r="184" spans="1:8" x14ac:dyDescent="0.25">
      <c r="A184" s="10"/>
      <c r="B184" s="10"/>
      <c r="C184" s="10"/>
      <c r="D184" s="10"/>
      <c r="E184" s="10"/>
      <c r="F184" s="10"/>
      <c r="G184" s="10"/>
      <c r="H184" s="10"/>
    </row>
    <row r="185" spans="1:8" x14ac:dyDescent="0.25">
      <c r="A185" s="10"/>
      <c r="B185" s="10"/>
      <c r="C185" s="10"/>
      <c r="D185" s="10"/>
      <c r="E185" s="10"/>
      <c r="F185" s="10"/>
      <c r="G185" s="10"/>
      <c r="H185" s="10"/>
    </row>
    <row r="186" spans="1:8" x14ac:dyDescent="0.25">
      <c r="A186" s="10"/>
      <c r="B186" s="10"/>
      <c r="C186" s="10"/>
      <c r="D186" s="10"/>
      <c r="E186" s="10"/>
      <c r="F186" s="10"/>
      <c r="G186" s="10"/>
      <c r="H186" s="10"/>
    </row>
    <row r="187" spans="1:8" x14ac:dyDescent="0.25">
      <c r="A187" s="10"/>
      <c r="B187" s="10"/>
      <c r="C187" s="10"/>
      <c r="D187" s="10"/>
      <c r="E187" s="10"/>
      <c r="F187" s="10"/>
      <c r="G187" s="10"/>
      <c r="H187" s="10"/>
    </row>
    <row r="188" spans="1:8" x14ac:dyDescent="0.25">
      <c r="A188" s="10"/>
      <c r="B188" s="10"/>
      <c r="C188" s="10"/>
      <c r="D188" s="10"/>
      <c r="E188" s="10"/>
      <c r="F188" s="10"/>
      <c r="G188" s="10"/>
      <c r="H188" s="10"/>
    </row>
    <row r="189" spans="1:8" x14ac:dyDescent="0.25">
      <c r="A189" s="10"/>
      <c r="B189" s="10"/>
      <c r="C189" s="10"/>
      <c r="D189" s="10"/>
      <c r="E189" s="10"/>
      <c r="F189" s="10"/>
      <c r="G189" s="10"/>
      <c r="H189" s="10"/>
    </row>
    <row r="190" spans="1:8" x14ac:dyDescent="0.25">
      <c r="A190" s="10"/>
      <c r="B190" s="10"/>
      <c r="C190" s="10"/>
      <c r="D190" s="10"/>
      <c r="E190" s="10"/>
      <c r="F190" s="10"/>
      <c r="G190" s="10"/>
      <c r="H190" s="10"/>
    </row>
    <row r="191" spans="1:8" x14ac:dyDescent="0.25">
      <c r="A191" s="10"/>
      <c r="B191" s="10"/>
      <c r="C191" s="10"/>
      <c r="D191" s="10"/>
      <c r="E191" s="10"/>
      <c r="F191" s="10"/>
      <c r="G191" s="10"/>
      <c r="H191" s="10"/>
    </row>
    <row r="192" spans="1:8" x14ac:dyDescent="0.25">
      <c r="A192" s="10"/>
      <c r="B192" s="10"/>
      <c r="C192" s="10"/>
      <c r="D192" s="10"/>
      <c r="E192" s="10"/>
      <c r="F192" s="10"/>
      <c r="G192" s="10"/>
      <c r="H192" s="10"/>
    </row>
    <row r="193" spans="1:8" x14ac:dyDescent="0.25">
      <c r="A193" s="10"/>
      <c r="B193" s="10"/>
      <c r="C193" s="10"/>
      <c r="D193" s="10"/>
      <c r="E193" s="10"/>
      <c r="F193" s="10"/>
      <c r="G193" s="10"/>
      <c r="H193" s="10"/>
    </row>
    <row r="194" spans="1:8" x14ac:dyDescent="0.25">
      <c r="A194" s="10"/>
      <c r="B194" s="10"/>
      <c r="C194" s="10"/>
      <c r="D194" s="10"/>
      <c r="E194" s="10"/>
      <c r="F194" s="10"/>
      <c r="G194" s="10"/>
      <c r="H194" s="10"/>
    </row>
    <row r="195" spans="1:8" x14ac:dyDescent="0.25">
      <c r="A195" s="10"/>
      <c r="B195" s="10"/>
      <c r="C195" s="10"/>
      <c r="D195" s="10"/>
      <c r="E195" s="10"/>
      <c r="F195" s="10"/>
      <c r="G195" s="10"/>
      <c r="H195" s="10"/>
    </row>
    <row r="196" spans="1:8" x14ac:dyDescent="0.25">
      <c r="A196" s="10"/>
      <c r="B196" s="10"/>
      <c r="C196" s="10"/>
      <c r="D196" s="10"/>
      <c r="E196" s="10"/>
      <c r="F196" s="10"/>
      <c r="G196" s="10"/>
      <c r="H196" s="10"/>
    </row>
    <row r="197" spans="1:8" x14ac:dyDescent="0.25">
      <c r="A197" s="10"/>
      <c r="B197" s="10"/>
      <c r="C197" s="10"/>
      <c r="D197" s="10"/>
      <c r="E197" s="10"/>
      <c r="F197" s="10"/>
      <c r="G197" s="10"/>
      <c r="H197" s="10"/>
    </row>
    <row r="198" spans="1:8" x14ac:dyDescent="0.25">
      <c r="A198" s="10"/>
      <c r="B198" s="10"/>
      <c r="C198" s="10"/>
      <c r="D198" s="10"/>
      <c r="E198" s="10"/>
      <c r="F198" s="10"/>
      <c r="G198" s="10"/>
      <c r="H198" s="10"/>
    </row>
    <row r="199" spans="1:8" x14ac:dyDescent="0.25">
      <c r="A199" s="10"/>
      <c r="B199" s="10"/>
      <c r="C199" s="10"/>
      <c r="D199" s="10"/>
      <c r="E199" s="10"/>
      <c r="F199" s="10"/>
      <c r="G199" s="10"/>
      <c r="H199" s="10"/>
    </row>
    <row r="200" spans="1:8" x14ac:dyDescent="0.25">
      <c r="A200" s="10"/>
      <c r="B200" s="10"/>
      <c r="C200" s="10"/>
      <c r="D200" s="10"/>
      <c r="E200" s="10"/>
      <c r="F200" s="10"/>
      <c r="G200" s="10"/>
      <c r="H200" s="10"/>
    </row>
    <row r="201" spans="1:8" x14ac:dyDescent="0.25">
      <c r="A201" s="10"/>
      <c r="B201" s="10"/>
      <c r="C201" s="10"/>
      <c r="D201" s="10"/>
      <c r="E201" s="10"/>
      <c r="F201" s="10"/>
      <c r="G201" s="10"/>
      <c r="H201" s="10"/>
    </row>
    <row r="202" spans="1:8" x14ac:dyDescent="0.25">
      <c r="A202" s="10"/>
      <c r="B202" s="10"/>
      <c r="C202" s="10"/>
      <c r="D202" s="10"/>
      <c r="E202" s="10"/>
      <c r="F202" s="10"/>
      <c r="G202" s="10"/>
      <c r="H202" s="10"/>
    </row>
    <row r="203" spans="1:8" x14ac:dyDescent="0.25">
      <c r="A203" s="10"/>
      <c r="B203" s="10"/>
      <c r="C203" s="10"/>
      <c r="D203" s="10"/>
      <c r="E203" s="10"/>
      <c r="F203" s="10"/>
      <c r="G203" s="10"/>
      <c r="H203" s="10"/>
    </row>
    <row r="204" spans="1:8" x14ac:dyDescent="0.25">
      <c r="A204" s="10"/>
      <c r="B204" s="10"/>
      <c r="C204" s="10"/>
      <c r="D204" s="10"/>
      <c r="E204" s="10"/>
      <c r="F204" s="10"/>
      <c r="G204" s="10"/>
      <c r="H204" s="10"/>
    </row>
    <row r="205" spans="1:8" x14ac:dyDescent="0.25">
      <c r="A205" s="10"/>
      <c r="B205" s="10"/>
      <c r="C205" s="10"/>
      <c r="D205" s="10"/>
      <c r="E205" s="10"/>
      <c r="F205" s="10"/>
      <c r="G205" s="10"/>
      <c r="H205" s="10"/>
    </row>
    <row r="206" spans="1:8" x14ac:dyDescent="0.25">
      <c r="A206" s="10"/>
      <c r="B206" s="10"/>
      <c r="C206" s="10"/>
      <c r="D206" s="10"/>
      <c r="E206" s="10"/>
      <c r="F206" s="10"/>
      <c r="G206" s="10"/>
      <c r="H206" s="10"/>
    </row>
    <row r="207" spans="1:8" x14ac:dyDescent="0.25">
      <c r="A207" s="10"/>
      <c r="B207" s="10"/>
      <c r="C207" s="10"/>
      <c r="D207" s="10"/>
      <c r="E207" s="10"/>
      <c r="F207" s="10"/>
      <c r="G207" s="10"/>
      <c r="H207" s="10"/>
    </row>
    <row r="208" spans="1:8" x14ac:dyDescent="0.25">
      <c r="A208" s="10"/>
      <c r="B208" s="10"/>
      <c r="C208" s="10"/>
      <c r="D208" s="10"/>
      <c r="E208" s="10"/>
      <c r="F208" s="10"/>
      <c r="G208" s="10"/>
      <c r="H208" s="10"/>
    </row>
    <row r="209" spans="1:8" x14ac:dyDescent="0.25">
      <c r="A209" s="10"/>
      <c r="B209" s="10"/>
      <c r="C209" s="10"/>
      <c r="D209" s="10"/>
      <c r="E209" s="10"/>
      <c r="F209" s="10"/>
      <c r="G209" s="10"/>
      <c r="H209" s="10"/>
    </row>
    <row r="210" spans="1:8" x14ac:dyDescent="0.25">
      <c r="A210" s="10"/>
      <c r="B210" s="10"/>
      <c r="C210" s="10"/>
      <c r="D210" s="10"/>
      <c r="E210" s="10"/>
      <c r="F210" s="10"/>
      <c r="G210" s="10"/>
      <c r="H210" s="10"/>
    </row>
    <row r="211" spans="1:8" x14ac:dyDescent="0.25">
      <c r="A211" s="10"/>
      <c r="B211" s="10"/>
      <c r="C211" s="10"/>
      <c r="D211" s="10"/>
      <c r="E211" s="10"/>
      <c r="F211" s="10"/>
      <c r="G211" s="10"/>
      <c r="H211" s="10"/>
    </row>
    <row r="212" spans="1:8" x14ac:dyDescent="0.25">
      <c r="A212" s="10"/>
      <c r="B212" s="10"/>
      <c r="C212" s="10"/>
      <c r="D212" s="10"/>
      <c r="E212" s="10"/>
      <c r="F212" s="10"/>
      <c r="G212" s="10"/>
      <c r="H212" s="10"/>
    </row>
    <row r="213" spans="1:8" x14ac:dyDescent="0.25">
      <c r="A213" s="10"/>
      <c r="B213" s="10"/>
      <c r="C213" s="10"/>
      <c r="D213" s="10"/>
      <c r="E213" s="10"/>
      <c r="F213" s="10"/>
      <c r="G213" s="10"/>
      <c r="H213" s="10"/>
    </row>
  </sheetData>
  <sortState ref="B11:G70">
    <sortCondition ref="B11:B70"/>
  </sortState>
  <mergeCells count="11">
    <mergeCell ref="C5:H6"/>
    <mergeCell ref="F9:H9"/>
    <mergeCell ref="A10:A11"/>
    <mergeCell ref="B10:B11"/>
    <mergeCell ref="C10:C11"/>
    <mergeCell ref="D10:D11"/>
    <mergeCell ref="E10:E11"/>
    <mergeCell ref="F10:F11"/>
    <mergeCell ref="H10:H11"/>
    <mergeCell ref="G10:G11"/>
    <mergeCell ref="A8:H8"/>
  </mergeCells>
  <pageMargins left="0.55118110236220474" right="0.19685039370078741" top="0.43307086614173229" bottom="0.35433070866141736" header="0.31496062992125984" footer="0.27559055118110237"/>
  <pageSetup paperSize="9" scale="75" orientation="portrait" r:id="rId1"/>
  <rowBreaks count="1" manualBreakCount="1">
    <brk id="76"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I257"/>
  <sheetViews>
    <sheetView workbookViewId="0">
      <selection activeCell="J12" sqref="J12"/>
    </sheetView>
  </sheetViews>
  <sheetFormatPr defaultRowHeight="15" outlineLevelCol="1" x14ac:dyDescent="0.25"/>
  <cols>
    <col min="1" max="1" width="5" customWidth="1"/>
    <col min="2" max="2" width="13" customWidth="1"/>
    <col min="3" max="3" width="58" customWidth="1"/>
    <col min="4" max="4" width="10" customWidth="1"/>
    <col min="5" max="5" width="9.85546875" bestFit="1" customWidth="1"/>
    <col min="6" max="6" width="9.42578125" hidden="1" customWidth="1" outlineLevel="1"/>
    <col min="7" max="7" width="13.28515625" hidden="1" customWidth="1" outlineLevel="1"/>
    <col min="8" max="8" width="9.140625" collapsed="1"/>
  </cols>
  <sheetData>
    <row r="1" spans="1:7" ht="18.75" x14ac:dyDescent="0.3">
      <c r="A1" s="153" t="s">
        <v>14</v>
      </c>
      <c r="B1" s="153"/>
      <c r="C1" s="153"/>
      <c r="D1" s="153"/>
      <c r="E1" s="153"/>
    </row>
    <row r="2" spans="1:7" ht="18.75" x14ac:dyDescent="0.3">
      <c r="A2" s="153" t="s">
        <v>15</v>
      </c>
      <c r="B2" s="153"/>
      <c r="C2" s="153"/>
      <c r="D2" s="153"/>
      <c r="E2" s="153"/>
    </row>
    <row r="4" spans="1:7" x14ac:dyDescent="0.25">
      <c r="A4" s="154" t="s">
        <v>100</v>
      </c>
      <c r="B4" s="154"/>
      <c r="C4" s="154"/>
      <c r="D4" s="154"/>
      <c r="E4" s="154"/>
    </row>
    <row r="5" spans="1:7" x14ac:dyDescent="0.25">
      <c r="A5" s="154" t="s">
        <v>27</v>
      </c>
      <c r="B5" s="154"/>
      <c r="C5" s="154"/>
      <c r="D5" s="154"/>
      <c r="E5" s="154"/>
    </row>
    <row r="6" spans="1:7" x14ac:dyDescent="0.25">
      <c r="A6" s="154"/>
      <c r="B6" s="154"/>
      <c r="C6" s="154"/>
      <c r="D6" s="154"/>
      <c r="E6" s="154"/>
    </row>
    <row r="7" spans="1:7" x14ac:dyDescent="0.25">
      <c r="A7" s="152" t="s">
        <v>283</v>
      </c>
      <c r="B7" s="152"/>
      <c r="C7" s="152"/>
      <c r="D7" s="152"/>
      <c r="E7" s="152"/>
    </row>
    <row r="8" spans="1:7" x14ac:dyDescent="0.25">
      <c r="A8" s="112"/>
      <c r="B8" s="112"/>
      <c r="C8" s="112"/>
      <c r="D8" s="113"/>
      <c r="E8" s="113"/>
    </row>
    <row r="9" spans="1:7" x14ac:dyDescent="0.25">
      <c r="A9" s="114" t="s">
        <v>4</v>
      </c>
      <c r="B9" s="114" t="s">
        <v>5</v>
      </c>
      <c r="C9" s="114" t="s">
        <v>25</v>
      </c>
      <c r="D9" s="114" t="s">
        <v>24</v>
      </c>
      <c r="E9" s="114" t="s">
        <v>20</v>
      </c>
      <c r="F9" s="15" t="s">
        <v>19</v>
      </c>
      <c r="G9" s="15" t="s">
        <v>9</v>
      </c>
    </row>
    <row r="10" spans="1:7" x14ac:dyDescent="0.25">
      <c r="A10" s="114"/>
      <c r="B10" s="114"/>
      <c r="C10" s="114"/>
      <c r="D10" s="114"/>
      <c r="E10" s="114"/>
      <c r="F10" s="15"/>
      <c r="G10" s="15"/>
    </row>
    <row r="11" spans="1:7" ht="64.5" customHeight="1" x14ac:dyDescent="0.25">
      <c r="A11" s="115">
        <f>+A8+1</f>
        <v>1</v>
      </c>
      <c r="B11" s="115" t="s">
        <v>60</v>
      </c>
      <c r="C11" s="118" t="s">
        <v>90</v>
      </c>
      <c r="D11" s="116" t="s">
        <v>22</v>
      </c>
      <c r="E11" s="116">
        <f>12*12*4</f>
        <v>576</v>
      </c>
      <c r="F11" s="14">
        <v>271.68</v>
      </c>
      <c r="G11" s="14">
        <f>INT(F11*E11*100)/100</f>
        <v>156487.67999999999</v>
      </c>
    </row>
    <row r="12" spans="1:7" x14ac:dyDescent="0.25">
      <c r="A12" s="115"/>
      <c r="B12" s="115"/>
      <c r="C12" s="119" t="s">
        <v>236</v>
      </c>
      <c r="D12" s="116"/>
      <c r="E12" s="116"/>
      <c r="F12" s="14"/>
      <c r="G12" s="14"/>
    </row>
    <row r="13" spans="1:7" x14ac:dyDescent="0.25">
      <c r="A13" s="115"/>
      <c r="B13" s="115"/>
      <c r="C13" s="118"/>
      <c r="D13" s="116"/>
      <c r="E13" s="116"/>
      <c r="F13" s="14"/>
      <c r="G13" s="14"/>
    </row>
    <row r="14" spans="1:7" ht="51" x14ac:dyDescent="0.25">
      <c r="A14" s="115">
        <f>+A11+1</f>
        <v>2</v>
      </c>
      <c r="B14" s="115" t="s">
        <v>61</v>
      </c>
      <c r="C14" s="118" t="s">
        <v>91</v>
      </c>
      <c r="D14" s="116" t="s">
        <v>22</v>
      </c>
      <c r="E14" s="116">
        <f>12*12*4</f>
        <v>576</v>
      </c>
      <c r="F14" s="14">
        <v>92.92</v>
      </c>
      <c r="G14" s="14">
        <f>INT(F14*E14*100)/100</f>
        <v>53521.919999999998</v>
      </c>
    </row>
    <row r="15" spans="1:7" x14ac:dyDescent="0.25">
      <c r="A15" s="114"/>
      <c r="B15" s="115"/>
      <c r="C15" s="119" t="s">
        <v>236</v>
      </c>
      <c r="D15" s="116"/>
      <c r="E15" s="116"/>
      <c r="F15" s="14"/>
      <c r="G15" s="14"/>
    </row>
    <row r="16" spans="1:7" x14ac:dyDescent="0.25">
      <c r="A16" s="114"/>
      <c r="B16" s="114"/>
      <c r="C16" s="120"/>
      <c r="D16" s="114"/>
      <c r="E16" s="114"/>
      <c r="F16" s="15"/>
      <c r="G16" s="15"/>
    </row>
    <row r="17" spans="1:7" ht="51" x14ac:dyDescent="0.25">
      <c r="A17" s="115">
        <f>+A14+1</f>
        <v>3</v>
      </c>
      <c r="B17" s="115" t="s">
        <v>62</v>
      </c>
      <c r="C17" s="118" t="s">
        <v>101</v>
      </c>
      <c r="D17" s="116" t="s">
        <v>21</v>
      </c>
      <c r="E17" s="116">
        <f>12*2</f>
        <v>24</v>
      </c>
      <c r="F17" s="14">
        <v>3936.14</v>
      </c>
      <c r="G17" s="14">
        <f>INT(F17*E17*100)/100</f>
        <v>94467.36</v>
      </c>
    </row>
    <row r="18" spans="1:7" x14ac:dyDescent="0.25">
      <c r="A18" s="115"/>
      <c r="B18" s="115"/>
      <c r="C18" s="119" t="s">
        <v>212</v>
      </c>
      <c r="D18" s="116"/>
      <c r="E18" s="116"/>
      <c r="F18" s="14"/>
      <c r="G18" s="14"/>
    </row>
    <row r="19" spans="1:7" x14ac:dyDescent="0.25">
      <c r="A19" s="115"/>
      <c r="B19" s="115"/>
      <c r="C19" s="118"/>
      <c r="D19" s="116"/>
      <c r="E19" s="116"/>
      <c r="F19" s="14"/>
      <c r="G19" s="14"/>
    </row>
    <row r="20" spans="1:7" ht="38.25" x14ac:dyDescent="0.25">
      <c r="A20" s="115">
        <f>+A17+1</f>
        <v>4</v>
      </c>
      <c r="B20" s="115" t="s">
        <v>63</v>
      </c>
      <c r="C20" s="118" t="s">
        <v>102</v>
      </c>
      <c r="D20" s="116" t="s">
        <v>21</v>
      </c>
      <c r="E20" s="116">
        <v>24</v>
      </c>
      <c r="F20" s="14"/>
      <c r="G20" s="14"/>
    </row>
    <row r="21" spans="1:7" x14ac:dyDescent="0.25">
      <c r="A21" s="115"/>
      <c r="B21" s="115"/>
      <c r="C21" s="119" t="s">
        <v>213</v>
      </c>
      <c r="D21" s="116"/>
      <c r="E21" s="116"/>
      <c r="F21" s="14"/>
      <c r="G21" s="14"/>
    </row>
    <row r="22" spans="1:7" x14ac:dyDescent="0.25">
      <c r="A22" s="115"/>
      <c r="B22" s="115"/>
      <c r="C22" s="119"/>
      <c r="D22" s="116"/>
      <c r="E22" s="116"/>
      <c r="F22" s="14"/>
      <c r="G22" s="14"/>
    </row>
    <row r="23" spans="1:7" ht="51" x14ac:dyDescent="0.25">
      <c r="A23" s="115">
        <f>+A20+1</f>
        <v>5</v>
      </c>
      <c r="B23" s="115" t="s">
        <v>157</v>
      </c>
      <c r="C23" s="119" t="s">
        <v>155</v>
      </c>
      <c r="D23" s="116" t="s">
        <v>151</v>
      </c>
      <c r="E23" s="116">
        <v>300</v>
      </c>
      <c r="F23" s="14"/>
      <c r="G23" s="14"/>
    </row>
    <row r="24" spans="1:7" x14ac:dyDescent="0.25">
      <c r="A24" s="115"/>
      <c r="B24" s="115"/>
      <c r="C24" s="119" t="s">
        <v>214</v>
      </c>
      <c r="D24" s="116"/>
      <c r="E24" s="116"/>
      <c r="F24" s="14"/>
      <c r="G24" s="14"/>
    </row>
    <row r="25" spans="1:7" x14ac:dyDescent="0.25">
      <c r="A25" s="115"/>
      <c r="B25" s="115"/>
      <c r="C25" s="119"/>
      <c r="D25" s="116"/>
      <c r="E25" s="116"/>
      <c r="F25" s="14"/>
      <c r="G25" s="14"/>
    </row>
    <row r="26" spans="1:7" ht="25.5" x14ac:dyDescent="0.25">
      <c r="A26" s="115">
        <f>+A23+1</f>
        <v>6</v>
      </c>
      <c r="B26" s="115" t="s">
        <v>158</v>
      </c>
      <c r="C26" s="119" t="s">
        <v>156</v>
      </c>
      <c r="D26" s="116" t="s">
        <v>151</v>
      </c>
      <c r="E26" s="116">
        <f>+E23*10</f>
        <v>3000</v>
      </c>
      <c r="F26" s="14"/>
      <c r="G26" s="14"/>
    </row>
    <row r="27" spans="1:7" x14ac:dyDescent="0.25">
      <c r="A27" s="115"/>
      <c r="B27" s="115"/>
      <c r="C27" s="119" t="s">
        <v>215</v>
      </c>
      <c r="D27" s="116"/>
      <c r="E27" s="116"/>
      <c r="F27" s="14"/>
      <c r="G27" s="14"/>
    </row>
    <row r="28" spans="1:7" x14ac:dyDescent="0.25">
      <c r="A28" s="115"/>
      <c r="B28" s="115"/>
      <c r="C28" s="119"/>
      <c r="D28" s="116"/>
      <c r="E28" s="116"/>
      <c r="F28" s="14"/>
      <c r="G28" s="14"/>
    </row>
    <row r="29" spans="1:7" ht="25.5" x14ac:dyDescent="0.25">
      <c r="A29" s="115">
        <f>+A26+1</f>
        <v>7</v>
      </c>
      <c r="B29" s="115" t="s">
        <v>153</v>
      </c>
      <c r="C29" s="119" t="s">
        <v>150</v>
      </c>
      <c r="D29" s="116" t="s">
        <v>151</v>
      </c>
      <c r="E29" s="116">
        <v>250</v>
      </c>
      <c r="F29" s="14"/>
      <c r="G29" s="14"/>
    </row>
    <row r="30" spans="1:7" x14ac:dyDescent="0.25">
      <c r="A30" s="115"/>
      <c r="B30" s="115"/>
      <c r="C30" s="119" t="s">
        <v>216</v>
      </c>
      <c r="D30" s="116"/>
      <c r="E30" s="116"/>
      <c r="F30" s="14"/>
      <c r="G30" s="14"/>
    </row>
    <row r="31" spans="1:7" x14ac:dyDescent="0.25">
      <c r="A31" s="115"/>
      <c r="B31" s="115"/>
      <c r="C31" s="119"/>
      <c r="D31" s="116"/>
      <c r="E31" s="116"/>
      <c r="F31" s="14"/>
      <c r="G31" s="14"/>
    </row>
    <row r="32" spans="1:7" ht="38.25" x14ac:dyDescent="0.25">
      <c r="A32" s="115">
        <f>+A29+1</f>
        <v>8</v>
      </c>
      <c r="B32" s="115" t="s">
        <v>154</v>
      </c>
      <c r="C32" s="119" t="s">
        <v>152</v>
      </c>
      <c r="D32" s="116" t="s">
        <v>151</v>
      </c>
      <c r="E32" s="116">
        <v>1250</v>
      </c>
      <c r="F32" s="14"/>
      <c r="G32" s="14"/>
    </row>
    <row r="33" spans="1:7" x14ac:dyDescent="0.25">
      <c r="A33" s="115"/>
      <c r="B33" s="115"/>
      <c r="C33" s="119" t="s">
        <v>217</v>
      </c>
      <c r="D33" s="116"/>
      <c r="E33" s="116"/>
      <c r="F33" s="14"/>
      <c r="G33" s="14"/>
    </row>
    <row r="34" spans="1:7" x14ac:dyDescent="0.25">
      <c r="A34" s="115"/>
      <c r="B34" s="115"/>
      <c r="C34" s="119"/>
      <c r="D34" s="116"/>
      <c r="E34" s="116"/>
      <c r="F34" s="14"/>
      <c r="G34" s="14"/>
    </row>
    <row r="35" spans="1:7" ht="25.5" x14ac:dyDescent="0.25">
      <c r="A35" s="115">
        <f>+A32+1</f>
        <v>9</v>
      </c>
      <c r="B35" s="115" t="s">
        <v>188</v>
      </c>
      <c r="C35" s="119" t="s">
        <v>174</v>
      </c>
      <c r="D35" s="116" t="s">
        <v>8</v>
      </c>
      <c r="E35" s="116">
        <v>980</v>
      </c>
      <c r="F35" s="14"/>
      <c r="G35" s="14"/>
    </row>
    <row r="36" spans="1:7" x14ac:dyDescent="0.25">
      <c r="A36" s="115"/>
      <c r="B36" s="115"/>
      <c r="C36" s="119" t="s">
        <v>219</v>
      </c>
      <c r="D36" s="116"/>
      <c r="E36" s="116"/>
      <c r="F36" s="14"/>
      <c r="G36" s="14"/>
    </row>
    <row r="37" spans="1:7" x14ac:dyDescent="0.25">
      <c r="A37" s="115"/>
      <c r="B37" s="115"/>
      <c r="C37" s="118"/>
      <c r="D37" s="116"/>
      <c r="E37" s="116"/>
      <c r="F37" s="14"/>
      <c r="G37" s="14"/>
    </row>
    <row r="38" spans="1:7" ht="25.5" x14ac:dyDescent="0.25">
      <c r="A38" s="115">
        <f>+A35+1</f>
        <v>10</v>
      </c>
      <c r="B38" s="115" t="s">
        <v>64</v>
      </c>
      <c r="C38" s="118" t="s">
        <v>103</v>
      </c>
      <c r="D38" s="116" t="s">
        <v>22</v>
      </c>
      <c r="E38" s="116">
        <f>12*160</f>
        <v>1920</v>
      </c>
      <c r="F38" s="14">
        <v>82.88</v>
      </c>
      <c r="G38" s="14">
        <f>INT(F38*E38*100)/100</f>
        <v>159129.60000000001</v>
      </c>
    </row>
    <row r="39" spans="1:7" x14ac:dyDescent="0.25">
      <c r="A39" s="115"/>
      <c r="B39" s="115"/>
      <c r="C39" s="119" t="s">
        <v>218</v>
      </c>
      <c r="D39" s="116"/>
      <c r="E39" s="116"/>
      <c r="F39" s="14"/>
      <c r="G39" s="14"/>
    </row>
    <row r="40" spans="1:7" x14ac:dyDescent="0.25">
      <c r="A40" s="115"/>
      <c r="B40" s="115"/>
      <c r="C40" s="119"/>
      <c r="D40" s="116"/>
      <c r="E40" s="116"/>
      <c r="F40" s="14"/>
      <c r="G40" s="14"/>
    </row>
    <row r="41" spans="1:7" ht="25.5" x14ac:dyDescent="0.25">
      <c r="A41" s="115">
        <f>+A38+1</f>
        <v>11</v>
      </c>
      <c r="B41" s="115" t="s">
        <v>65</v>
      </c>
      <c r="C41" s="118" t="s">
        <v>104</v>
      </c>
      <c r="D41" s="116" t="s">
        <v>13</v>
      </c>
      <c r="E41" s="116">
        <f>10000*0.2</f>
        <v>2000</v>
      </c>
      <c r="F41" s="14">
        <v>71.739999999999995</v>
      </c>
      <c r="G41" s="14">
        <f>INT(F41*E41*100)/100</f>
        <v>143480</v>
      </c>
    </row>
    <row r="42" spans="1:7" x14ac:dyDescent="0.25">
      <c r="A42" s="115"/>
      <c r="B42" s="115"/>
      <c r="C42" s="118" t="s">
        <v>220</v>
      </c>
      <c r="D42" s="116"/>
      <c r="E42" s="116"/>
      <c r="F42" s="14"/>
      <c r="G42" s="14"/>
    </row>
    <row r="43" spans="1:7" x14ac:dyDescent="0.25">
      <c r="A43" s="115"/>
      <c r="B43" s="115"/>
      <c r="C43" s="118"/>
      <c r="D43" s="116"/>
      <c r="E43" s="116"/>
      <c r="F43" s="14"/>
      <c r="G43" s="14"/>
    </row>
    <row r="44" spans="1:7" ht="25.5" x14ac:dyDescent="0.25">
      <c r="A44" s="115">
        <f>+A41+1</f>
        <v>12</v>
      </c>
      <c r="B44" s="115" t="s">
        <v>66</v>
      </c>
      <c r="C44" s="118" t="s">
        <v>92</v>
      </c>
      <c r="D44" s="116" t="s">
        <v>13</v>
      </c>
      <c r="E44" s="116">
        <f>10000*0.2</f>
        <v>2000</v>
      </c>
      <c r="F44" s="14">
        <v>90.97</v>
      </c>
      <c r="G44" s="14">
        <f>INT(F44*E44*100)/100</f>
        <v>181940</v>
      </c>
    </row>
    <row r="45" spans="1:7" x14ac:dyDescent="0.25">
      <c r="A45" s="115"/>
      <c r="B45" s="115"/>
      <c r="C45" s="118" t="s">
        <v>220</v>
      </c>
      <c r="D45" s="116"/>
      <c r="E45" s="116"/>
      <c r="F45" s="14"/>
      <c r="G45" s="14"/>
    </row>
    <row r="46" spans="1:7" x14ac:dyDescent="0.25">
      <c r="A46" s="115"/>
      <c r="B46" s="115"/>
      <c r="C46" s="118"/>
      <c r="D46" s="116"/>
      <c r="E46" s="116"/>
      <c r="F46" s="14"/>
      <c r="G46" s="14"/>
    </row>
    <row r="47" spans="1:7" ht="52.5" customHeight="1" x14ac:dyDescent="0.25">
      <c r="A47" s="115">
        <f>+A44+1</f>
        <v>13</v>
      </c>
      <c r="B47" s="115" t="s">
        <v>67</v>
      </c>
      <c r="C47" s="118" t="s">
        <v>105</v>
      </c>
      <c r="D47" s="116" t="s">
        <v>10</v>
      </c>
      <c r="E47" s="116">
        <v>3000</v>
      </c>
      <c r="F47" s="14">
        <v>0.98</v>
      </c>
      <c r="G47" s="14">
        <f>INT(F47*E47*100)/100</f>
        <v>2940</v>
      </c>
    </row>
    <row r="48" spans="1:7" x14ac:dyDescent="0.25">
      <c r="A48" s="115"/>
      <c r="B48" s="115"/>
      <c r="C48" s="118" t="s">
        <v>26</v>
      </c>
      <c r="D48" s="116"/>
      <c r="E48" s="116"/>
      <c r="F48" s="14"/>
      <c r="G48" s="14"/>
    </row>
    <row r="49" spans="1:7" x14ac:dyDescent="0.25">
      <c r="A49" s="115"/>
      <c r="B49" s="115"/>
      <c r="C49" s="118"/>
      <c r="D49" s="116"/>
      <c r="E49" s="116"/>
      <c r="F49" s="14"/>
      <c r="G49" s="14"/>
    </row>
    <row r="50" spans="1:7" ht="25.5" x14ac:dyDescent="0.25">
      <c r="A50" s="115">
        <f>+A47+1</f>
        <v>14</v>
      </c>
      <c r="B50" s="115" t="s">
        <v>168</v>
      </c>
      <c r="C50" s="118" t="s">
        <v>167</v>
      </c>
      <c r="D50" s="116" t="s">
        <v>10</v>
      </c>
      <c r="E50" s="116">
        <v>3000</v>
      </c>
      <c r="F50" s="14"/>
      <c r="G50" s="14"/>
    </row>
    <row r="51" spans="1:7" x14ac:dyDescent="0.25">
      <c r="A51" s="115"/>
      <c r="B51" s="115"/>
      <c r="C51" s="118" t="s">
        <v>26</v>
      </c>
      <c r="D51" s="116"/>
      <c r="E51" s="116"/>
      <c r="F51" s="14"/>
      <c r="G51" s="14"/>
    </row>
    <row r="52" spans="1:7" x14ac:dyDescent="0.25">
      <c r="A52" s="115"/>
      <c r="B52" s="115"/>
      <c r="C52" s="118"/>
      <c r="D52" s="116"/>
      <c r="E52" s="116"/>
      <c r="F52" s="14"/>
      <c r="G52" s="14"/>
    </row>
    <row r="53" spans="1:7" ht="38.25" x14ac:dyDescent="0.25">
      <c r="A53" s="115">
        <f>+A50+1</f>
        <v>15</v>
      </c>
      <c r="B53" s="115" t="s">
        <v>68</v>
      </c>
      <c r="C53" s="118" t="s">
        <v>106</v>
      </c>
      <c r="D53" s="116" t="s">
        <v>11</v>
      </c>
      <c r="E53" s="116">
        <f>+E62</f>
        <v>2875</v>
      </c>
      <c r="F53" s="14">
        <v>5.29</v>
      </c>
      <c r="G53" s="14">
        <f>INT(F53*E53*100)/100</f>
        <v>15208.75</v>
      </c>
    </row>
    <row r="54" spans="1:7" x14ac:dyDescent="0.25">
      <c r="A54" s="115"/>
      <c r="B54" s="115"/>
      <c r="C54" s="118" t="s">
        <v>17</v>
      </c>
      <c r="D54" s="116"/>
      <c r="E54" s="116"/>
      <c r="F54" s="14"/>
      <c r="G54" s="14"/>
    </row>
    <row r="55" spans="1:7" x14ac:dyDescent="0.25">
      <c r="A55" s="115"/>
      <c r="B55" s="115"/>
      <c r="C55" s="118"/>
      <c r="D55" s="116"/>
      <c r="E55" s="116"/>
      <c r="F55" s="14"/>
      <c r="G55" s="14"/>
    </row>
    <row r="56" spans="1:7" ht="25.5" x14ac:dyDescent="0.25">
      <c r="A56" s="115">
        <f>+A53+1</f>
        <v>16</v>
      </c>
      <c r="B56" s="115" t="s">
        <v>69</v>
      </c>
      <c r="C56" s="118" t="s">
        <v>107</v>
      </c>
      <c r="D56" s="116" t="s">
        <v>10</v>
      </c>
      <c r="E56" s="116">
        <v>10000</v>
      </c>
      <c r="F56" s="14">
        <v>1.74</v>
      </c>
      <c r="G56" s="14">
        <f>INT(F56*E56*100)/100</f>
        <v>17400</v>
      </c>
    </row>
    <row r="57" spans="1:7" x14ac:dyDescent="0.25">
      <c r="A57" s="115"/>
      <c r="B57" s="115"/>
      <c r="C57" s="118" t="s">
        <v>221</v>
      </c>
      <c r="D57" s="116"/>
      <c r="E57" s="116"/>
      <c r="F57" s="14"/>
      <c r="G57" s="14"/>
    </row>
    <row r="58" spans="1:7" x14ac:dyDescent="0.25">
      <c r="A58" s="115"/>
      <c r="B58" s="115"/>
      <c r="C58" s="118"/>
      <c r="D58" s="116"/>
      <c r="E58" s="116"/>
      <c r="F58" s="14"/>
      <c r="G58" s="14"/>
    </row>
    <row r="59" spans="1:7" ht="38.25" x14ac:dyDescent="0.25">
      <c r="A59" s="115">
        <f>+A56+1</f>
        <v>17</v>
      </c>
      <c r="B59" s="115" t="s">
        <v>70</v>
      </c>
      <c r="C59" s="118" t="s">
        <v>108</v>
      </c>
      <c r="D59" s="116" t="s">
        <v>10</v>
      </c>
      <c r="E59" s="116">
        <f>+E56</f>
        <v>10000</v>
      </c>
      <c r="F59" s="14">
        <v>5.55</v>
      </c>
      <c r="G59" s="14">
        <f>INT(F59*E59*100)/100</f>
        <v>55500</v>
      </c>
    </row>
    <row r="60" spans="1:7" x14ac:dyDescent="0.25">
      <c r="A60" s="115"/>
      <c r="B60" s="115"/>
      <c r="C60" s="118" t="s">
        <v>221</v>
      </c>
      <c r="D60" s="116"/>
      <c r="E60" s="116"/>
      <c r="F60" s="14"/>
      <c r="G60" s="14"/>
    </row>
    <row r="61" spans="1:7" x14ac:dyDescent="0.25">
      <c r="A61" s="115"/>
      <c r="B61" s="115"/>
      <c r="C61" s="118"/>
      <c r="D61" s="116"/>
      <c r="E61" s="116"/>
      <c r="F61" s="14"/>
      <c r="G61" s="14"/>
    </row>
    <row r="62" spans="1:7" ht="39.75" customHeight="1" x14ac:dyDescent="0.25">
      <c r="A62" s="115">
        <f>+A59+1</f>
        <v>18</v>
      </c>
      <c r="B62" s="115" t="s">
        <v>71</v>
      </c>
      <c r="C62" s="118" t="s">
        <v>93</v>
      </c>
      <c r="D62" s="116" t="s">
        <v>11</v>
      </c>
      <c r="E62" s="116">
        <f>+D64+D66</f>
        <v>2875</v>
      </c>
      <c r="F62" s="14">
        <v>293.70999999999998</v>
      </c>
      <c r="G62" s="14">
        <f>INT(F62*E62*100)/100</f>
        <v>844416.25</v>
      </c>
    </row>
    <row r="63" spans="1:7" x14ac:dyDescent="0.25">
      <c r="A63" s="115"/>
      <c r="B63" s="115"/>
      <c r="C63" s="118" t="s">
        <v>221</v>
      </c>
      <c r="D63" s="116"/>
      <c r="E63" s="116"/>
      <c r="F63" s="14"/>
      <c r="G63" s="14"/>
    </row>
    <row r="64" spans="1:7" x14ac:dyDescent="0.25">
      <c r="A64" s="115"/>
      <c r="B64" s="115"/>
      <c r="C64" s="118" t="s">
        <v>222</v>
      </c>
      <c r="D64" s="116">
        <f>+E59*0.1*2.3</f>
        <v>2300</v>
      </c>
      <c r="E64" s="116"/>
      <c r="F64" s="14"/>
      <c r="G64" s="14"/>
    </row>
    <row r="65" spans="1:9" x14ac:dyDescent="0.25">
      <c r="A65" s="115"/>
      <c r="B65" s="115"/>
      <c r="C65" s="118" t="s">
        <v>223</v>
      </c>
      <c r="D65" s="116"/>
      <c r="E65" s="116"/>
      <c r="F65" s="14"/>
      <c r="G65" s="14"/>
    </row>
    <row r="66" spans="1:9" x14ac:dyDescent="0.25">
      <c r="A66" s="115"/>
      <c r="B66" s="115"/>
      <c r="C66" s="118" t="s">
        <v>224</v>
      </c>
      <c r="D66" s="116">
        <f>250*2.3</f>
        <v>575</v>
      </c>
      <c r="E66" s="116"/>
      <c r="F66" s="14"/>
      <c r="G66" s="14"/>
    </row>
    <row r="67" spans="1:9" x14ac:dyDescent="0.25">
      <c r="A67" s="115"/>
      <c r="B67" s="115"/>
      <c r="C67" s="118"/>
      <c r="D67" s="116"/>
      <c r="E67" s="116"/>
      <c r="F67" s="14"/>
      <c r="G67" s="14"/>
    </row>
    <row r="68" spans="1:9" ht="38.25" x14ac:dyDescent="0.25">
      <c r="A68" s="115">
        <f>+A62+1</f>
        <v>19</v>
      </c>
      <c r="B68" s="115" t="s">
        <v>172</v>
      </c>
      <c r="C68" s="118" t="s">
        <v>171</v>
      </c>
      <c r="D68" s="116" t="s">
        <v>13</v>
      </c>
      <c r="E68" s="116">
        <f>+E59*0.05</f>
        <v>500</v>
      </c>
      <c r="F68" s="14"/>
      <c r="G68" s="14"/>
    </row>
    <row r="69" spans="1:9" x14ac:dyDescent="0.25">
      <c r="A69" s="115"/>
      <c r="B69" s="115"/>
      <c r="C69" s="118" t="s">
        <v>225</v>
      </c>
      <c r="D69" s="116"/>
      <c r="E69" s="116"/>
      <c r="F69" s="14"/>
      <c r="G69" s="14"/>
    </row>
    <row r="70" spans="1:9" x14ac:dyDescent="0.25">
      <c r="A70" s="115"/>
      <c r="B70" s="115"/>
      <c r="C70" s="118"/>
      <c r="D70" s="116"/>
      <c r="E70" s="116"/>
      <c r="F70" s="14"/>
      <c r="G70" s="14"/>
    </row>
    <row r="71" spans="1:9" ht="63.75" x14ac:dyDescent="0.25">
      <c r="A71" s="115">
        <f>+A68+1</f>
        <v>20</v>
      </c>
      <c r="B71" s="115" t="s">
        <v>72</v>
      </c>
      <c r="C71" s="118" t="s">
        <v>109</v>
      </c>
      <c r="D71" s="116" t="s">
        <v>8</v>
      </c>
      <c r="E71" s="116">
        <v>750</v>
      </c>
      <c r="F71" s="14">
        <v>77.069999999999993</v>
      </c>
      <c r="G71" s="14">
        <f>INT(F71*E71*100)/100</f>
        <v>57802.5</v>
      </c>
    </row>
    <row r="72" spans="1:9" x14ac:dyDescent="0.25">
      <c r="A72" s="115"/>
      <c r="B72" s="115"/>
      <c r="C72" s="118" t="s">
        <v>122</v>
      </c>
      <c r="D72" s="116"/>
      <c r="E72" s="116"/>
      <c r="F72" s="14"/>
      <c r="G72" s="14"/>
    </row>
    <row r="73" spans="1:9" x14ac:dyDescent="0.25">
      <c r="A73" s="115"/>
      <c r="B73" s="115"/>
      <c r="C73" s="118"/>
      <c r="D73" s="116"/>
      <c r="E73" s="116"/>
      <c r="F73" s="14"/>
      <c r="G73" s="14"/>
    </row>
    <row r="74" spans="1:9" ht="51" x14ac:dyDescent="0.25">
      <c r="A74" s="115">
        <f>+A71+1</f>
        <v>21</v>
      </c>
      <c r="B74" s="115" t="s">
        <v>170</v>
      </c>
      <c r="C74" s="118" t="s">
        <v>169</v>
      </c>
      <c r="D74" s="116" t="s">
        <v>8</v>
      </c>
      <c r="E74" s="116">
        <v>500</v>
      </c>
      <c r="F74" s="14"/>
      <c r="G74" s="14"/>
    </row>
    <row r="75" spans="1:9" x14ac:dyDescent="0.25">
      <c r="A75" s="115"/>
      <c r="B75" s="115"/>
      <c r="C75" s="118" t="s">
        <v>122</v>
      </c>
      <c r="D75" s="116"/>
      <c r="E75" s="116"/>
      <c r="F75" s="14"/>
      <c r="G75" s="14"/>
    </row>
    <row r="76" spans="1:9" x14ac:dyDescent="0.25">
      <c r="A76" s="115"/>
      <c r="B76" s="115"/>
      <c r="C76" s="118"/>
      <c r="D76" s="116"/>
      <c r="E76" s="116"/>
      <c r="F76" s="14"/>
      <c r="G76" s="14"/>
    </row>
    <row r="77" spans="1:9" ht="51" x14ac:dyDescent="0.25">
      <c r="A77" s="115">
        <f>+A74+1</f>
        <v>22</v>
      </c>
      <c r="B77" s="115" t="s">
        <v>190</v>
      </c>
      <c r="C77" s="118" t="s">
        <v>176</v>
      </c>
      <c r="D77" s="116" t="s">
        <v>8</v>
      </c>
      <c r="E77" s="116">
        <v>250</v>
      </c>
      <c r="F77" s="14"/>
      <c r="G77" s="14"/>
      <c r="I77" s="12"/>
    </row>
    <row r="78" spans="1:9" x14ac:dyDescent="0.25">
      <c r="A78" s="115"/>
      <c r="B78" s="115"/>
      <c r="C78" s="118" t="s">
        <v>122</v>
      </c>
      <c r="D78" s="116"/>
      <c r="E78" s="116"/>
      <c r="F78" s="14"/>
      <c r="G78" s="14"/>
    </row>
    <row r="79" spans="1:9" x14ac:dyDescent="0.25">
      <c r="A79" s="115"/>
      <c r="B79" s="115"/>
      <c r="C79" s="118"/>
      <c r="D79" s="116"/>
      <c r="E79" s="116"/>
      <c r="F79" s="14"/>
      <c r="G79" s="14"/>
    </row>
    <row r="80" spans="1:9" ht="51" x14ac:dyDescent="0.25">
      <c r="A80" s="115">
        <f>+A77+1</f>
        <v>23</v>
      </c>
      <c r="B80" s="115" t="s">
        <v>191</v>
      </c>
      <c r="C80" s="118" t="s">
        <v>177</v>
      </c>
      <c r="D80" s="116" t="s">
        <v>8</v>
      </c>
      <c r="E80" s="116">
        <v>100</v>
      </c>
      <c r="F80" s="14"/>
      <c r="G80" s="14"/>
    </row>
    <row r="81" spans="1:7" x14ac:dyDescent="0.25">
      <c r="A81" s="115"/>
      <c r="B81" s="115"/>
      <c r="C81" s="118" t="s">
        <v>122</v>
      </c>
      <c r="D81" s="116"/>
      <c r="E81" s="116"/>
      <c r="F81" s="14"/>
      <c r="G81" s="14"/>
    </row>
    <row r="82" spans="1:7" x14ac:dyDescent="0.25">
      <c r="A82" s="115"/>
      <c r="B82" s="115"/>
      <c r="C82" s="118"/>
      <c r="D82" s="116"/>
      <c r="E82" s="116"/>
      <c r="F82" s="14"/>
      <c r="G82" s="14"/>
    </row>
    <row r="83" spans="1:7" ht="51" x14ac:dyDescent="0.25">
      <c r="A83" s="115">
        <f>+A80+1</f>
        <v>24</v>
      </c>
      <c r="B83" s="115" t="s">
        <v>192</v>
      </c>
      <c r="C83" s="118" t="s">
        <v>178</v>
      </c>
      <c r="D83" s="116" t="s">
        <v>8</v>
      </c>
      <c r="E83" s="116">
        <v>80</v>
      </c>
      <c r="F83" s="14"/>
      <c r="G83" s="14"/>
    </row>
    <row r="84" spans="1:7" x14ac:dyDescent="0.25">
      <c r="A84" s="115"/>
      <c r="B84" s="115"/>
      <c r="C84" s="118" t="s">
        <v>122</v>
      </c>
      <c r="D84" s="116"/>
      <c r="E84" s="116"/>
      <c r="F84" s="14"/>
      <c r="G84" s="14"/>
    </row>
    <row r="85" spans="1:7" x14ac:dyDescent="0.25">
      <c r="A85" s="115"/>
      <c r="B85" s="115"/>
      <c r="C85" s="118"/>
      <c r="D85" s="116"/>
      <c r="E85" s="116"/>
      <c r="F85" s="14"/>
      <c r="G85" s="14"/>
    </row>
    <row r="86" spans="1:7" ht="51" x14ac:dyDescent="0.25">
      <c r="A86" s="115">
        <f>+A83+1</f>
        <v>25</v>
      </c>
      <c r="B86" s="115" t="s">
        <v>193</v>
      </c>
      <c r="C86" s="118" t="s">
        <v>179</v>
      </c>
      <c r="D86" s="116" t="s">
        <v>8</v>
      </c>
      <c r="E86" s="116">
        <v>60</v>
      </c>
      <c r="F86" s="14"/>
      <c r="G86" s="14"/>
    </row>
    <row r="87" spans="1:7" x14ac:dyDescent="0.25">
      <c r="A87" s="115"/>
      <c r="B87" s="115"/>
      <c r="C87" s="118" t="s">
        <v>122</v>
      </c>
      <c r="D87" s="116"/>
      <c r="E87" s="116"/>
      <c r="F87" s="14"/>
      <c r="G87" s="14"/>
    </row>
    <row r="88" spans="1:7" x14ac:dyDescent="0.25">
      <c r="A88" s="115"/>
      <c r="B88" s="115"/>
      <c r="C88" s="118"/>
      <c r="D88" s="116"/>
      <c r="E88" s="116"/>
      <c r="F88" s="14"/>
      <c r="G88" s="14"/>
    </row>
    <row r="89" spans="1:7" ht="102" x14ac:dyDescent="0.25">
      <c r="A89" s="115">
        <f>+A86+1</f>
        <v>26</v>
      </c>
      <c r="B89" s="115" t="s">
        <v>194</v>
      </c>
      <c r="C89" s="118" t="s">
        <v>180</v>
      </c>
      <c r="D89" s="116" t="s">
        <v>151</v>
      </c>
      <c r="E89" s="116">
        <f>+(E77+E80)/25</f>
        <v>14</v>
      </c>
      <c r="F89" s="14"/>
      <c r="G89" s="14"/>
    </row>
    <row r="90" spans="1:7" x14ac:dyDescent="0.25">
      <c r="A90" s="115"/>
      <c r="B90" s="115"/>
      <c r="C90" s="118" t="s">
        <v>237</v>
      </c>
      <c r="D90" s="116"/>
      <c r="E90" s="116"/>
      <c r="F90" s="14"/>
      <c r="G90" s="14"/>
    </row>
    <row r="91" spans="1:7" x14ac:dyDescent="0.25">
      <c r="A91" s="115"/>
      <c r="B91" s="115"/>
      <c r="C91" s="118"/>
      <c r="D91" s="116"/>
      <c r="E91" s="116"/>
      <c r="F91" s="14"/>
      <c r="G91" s="14"/>
    </row>
    <row r="92" spans="1:7" ht="102" x14ac:dyDescent="0.25">
      <c r="A92" s="115">
        <f>+A89+1</f>
        <v>27</v>
      </c>
      <c r="B92" s="115" t="s">
        <v>195</v>
      </c>
      <c r="C92" s="118" t="s">
        <v>181</v>
      </c>
      <c r="D92" s="116" t="s">
        <v>151</v>
      </c>
      <c r="E92" s="116">
        <f>+INT(E83/25)</f>
        <v>3</v>
      </c>
      <c r="F92" s="14"/>
      <c r="G92" s="14"/>
    </row>
    <row r="93" spans="1:7" x14ac:dyDescent="0.25">
      <c r="A93" s="115"/>
      <c r="B93" s="115"/>
      <c r="C93" s="118" t="s">
        <v>227</v>
      </c>
      <c r="D93" s="116"/>
      <c r="E93" s="116"/>
      <c r="F93" s="14"/>
      <c r="G93" s="14"/>
    </row>
    <row r="94" spans="1:7" x14ac:dyDescent="0.25">
      <c r="A94" s="115"/>
      <c r="B94" s="115"/>
      <c r="C94" s="118"/>
      <c r="D94" s="116"/>
      <c r="E94" s="116"/>
      <c r="F94" s="14"/>
      <c r="G94" s="14"/>
    </row>
    <row r="95" spans="1:7" ht="102" x14ac:dyDescent="0.25">
      <c r="A95" s="115">
        <f>+A92+1</f>
        <v>28</v>
      </c>
      <c r="B95" s="115" t="s">
        <v>196</v>
      </c>
      <c r="C95" s="118" t="s">
        <v>182</v>
      </c>
      <c r="D95" s="116" t="s">
        <v>151</v>
      </c>
      <c r="E95" s="116">
        <f>+INT(E86/25)</f>
        <v>2</v>
      </c>
      <c r="F95" s="14"/>
      <c r="G95" s="14"/>
    </row>
    <row r="96" spans="1:7" x14ac:dyDescent="0.25">
      <c r="A96" s="115"/>
      <c r="B96" s="115"/>
      <c r="C96" s="118" t="s">
        <v>228</v>
      </c>
      <c r="D96" s="116"/>
      <c r="E96" s="116"/>
      <c r="F96" s="14"/>
      <c r="G96" s="14"/>
    </row>
    <row r="97" spans="1:7" x14ac:dyDescent="0.25">
      <c r="A97" s="115"/>
      <c r="B97" s="115"/>
      <c r="C97" s="118"/>
      <c r="D97" s="116"/>
      <c r="E97" s="116"/>
      <c r="F97" s="14"/>
      <c r="G97" s="14"/>
    </row>
    <row r="98" spans="1:7" ht="63.75" x14ac:dyDescent="0.25">
      <c r="A98" s="115">
        <f>+A95+1</f>
        <v>29</v>
      </c>
      <c r="B98" s="115" t="s">
        <v>198</v>
      </c>
      <c r="C98" s="118" t="s">
        <v>184</v>
      </c>
      <c r="D98" s="116" t="s">
        <v>151</v>
      </c>
      <c r="E98" s="116">
        <f>+(E95+E92+E89)*2</f>
        <v>38</v>
      </c>
      <c r="F98" s="14"/>
      <c r="G98" s="14"/>
    </row>
    <row r="99" spans="1:7" x14ac:dyDescent="0.25">
      <c r="A99" s="115"/>
      <c r="B99" s="115"/>
      <c r="C99" s="118" t="s">
        <v>229</v>
      </c>
      <c r="D99" s="116"/>
      <c r="E99" s="116"/>
      <c r="F99" s="14"/>
      <c r="G99" s="14"/>
    </row>
    <row r="100" spans="1:7" x14ac:dyDescent="0.25">
      <c r="A100" s="115"/>
      <c r="B100" s="115"/>
      <c r="C100" s="118"/>
      <c r="D100" s="116"/>
      <c r="E100" s="116"/>
      <c r="F100" s="14"/>
      <c r="G100" s="14"/>
    </row>
    <row r="101" spans="1:7" ht="51" x14ac:dyDescent="0.25">
      <c r="A101" s="115">
        <f>+A98+1</f>
        <v>30</v>
      </c>
      <c r="B101" s="115" t="s">
        <v>197</v>
      </c>
      <c r="C101" s="118" t="s">
        <v>183</v>
      </c>
      <c r="D101" s="116" t="s">
        <v>151</v>
      </c>
      <c r="E101" s="116">
        <f>+E98/2</f>
        <v>19</v>
      </c>
      <c r="F101" s="14"/>
      <c r="G101" s="14"/>
    </row>
    <row r="102" spans="1:7" x14ac:dyDescent="0.25">
      <c r="A102" s="115"/>
      <c r="B102" s="115"/>
      <c r="C102" s="118" t="s">
        <v>230</v>
      </c>
      <c r="D102" s="116"/>
      <c r="E102" s="116"/>
      <c r="F102" s="14"/>
      <c r="G102" s="14"/>
    </row>
    <row r="103" spans="1:7" x14ac:dyDescent="0.25">
      <c r="A103" s="115"/>
      <c r="B103" s="115"/>
      <c r="C103" s="118"/>
      <c r="D103" s="116"/>
      <c r="E103" s="116"/>
      <c r="F103" s="14"/>
      <c r="G103" s="14"/>
    </row>
    <row r="104" spans="1:7" ht="38.25" x14ac:dyDescent="0.25">
      <c r="A104" s="115">
        <f>+A101+1</f>
        <v>31</v>
      </c>
      <c r="B104" s="115" t="s">
        <v>199</v>
      </c>
      <c r="C104" s="118" t="s">
        <v>185</v>
      </c>
      <c r="D104" s="116" t="s">
        <v>151</v>
      </c>
      <c r="E104" s="116">
        <f>+E98</f>
        <v>38</v>
      </c>
      <c r="F104" s="14"/>
      <c r="G104" s="14"/>
    </row>
    <row r="105" spans="1:7" x14ac:dyDescent="0.25">
      <c r="A105" s="115"/>
      <c r="B105" s="115"/>
      <c r="C105" s="118" t="s">
        <v>229</v>
      </c>
      <c r="D105" s="116"/>
      <c r="E105" s="116"/>
      <c r="F105" s="14"/>
      <c r="G105" s="14"/>
    </row>
    <row r="106" spans="1:7" x14ac:dyDescent="0.25">
      <c r="A106" s="115"/>
      <c r="B106" s="115"/>
      <c r="C106" s="118"/>
      <c r="D106" s="116"/>
      <c r="E106" s="116"/>
      <c r="F106" s="14"/>
      <c r="G106" s="14"/>
    </row>
    <row r="107" spans="1:7" x14ac:dyDescent="0.25">
      <c r="A107" s="115">
        <f>+A104+1</f>
        <v>32</v>
      </c>
      <c r="B107" s="115" t="s">
        <v>200</v>
      </c>
      <c r="C107" s="118" t="s">
        <v>186</v>
      </c>
      <c r="D107" s="116" t="s">
        <v>13</v>
      </c>
      <c r="E107" s="116">
        <v>85.2</v>
      </c>
      <c r="F107" s="14"/>
      <c r="G107" s="14"/>
    </row>
    <row r="108" spans="1:7" x14ac:dyDescent="0.25">
      <c r="A108" s="115"/>
      <c r="B108" s="115"/>
      <c r="C108" s="118" t="s">
        <v>231</v>
      </c>
      <c r="D108" s="116">
        <f>+E77*0.8*0.15</f>
        <v>30</v>
      </c>
      <c r="E108" s="116"/>
      <c r="F108" s="14"/>
      <c r="G108" s="14"/>
    </row>
    <row r="109" spans="1:7" x14ac:dyDescent="0.25">
      <c r="A109" s="115"/>
      <c r="B109" s="115"/>
      <c r="C109" s="118" t="s">
        <v>232</v>
      </c>
      <c r="D109" s="116">
        <f>+E80*1.2*0.15</f>
        <v>18</v>
      </c>
      <c r="E109" s="116"/>
      <c r="F109" s="14"/>
      <c r="G109" s="14"/>
    </row>
    <row r="110" spans="1:7" x14ac:dyDescent="0.25">
      <c r="A110" s="115"/>
      <c r="B110" s="115"/>
      <c r="C110" s="118" t="s">
        <v>233</v>
      </c>
      <c r="D110" s="116">
        <f>+E83*1.6*0.15</f>
        <v>19.2</v>
      </c>
      <c r="E110" s="116"/>
      <c r="F110" s="14"/>
      <c r="G110" s="14"/>
    </row>
    <row r="111" spans="1:7" x14ac:dyDescent="0.25">
      <c r="A111" s="115"/>
      <c r="B111" s="115"/>
      <c r="C111" s="118" t="s">
        <v>234</v>
      </c>
      <c r="D111" s="116">
        <f>+E86*2*0.15</f>
        <v>18</v>
      </c>
      <c r="E111" s="116"/>
      <c r="F111" s="14"/>
      <c r="G111" s="14"/>
    </row>
    <row r="112" spans="1:7" x14ac:dyDescent="0.25">
      <c r="A112" s="115"/>
      <c r="B112" s="115"/>
      <c r="C112" s="118"/>
      <c r="D112" s="116"/>
      <c r="E112" s="116"/>
      <c r="F112" s="14"/>
      <c r="G112" s="14"/>
    </row>
    <row r="113" spans="1:7" ht="51" x14ac:dyDescent="0.25">
      <c r="A113" s="115">
        <f>+A107+1</f>
        <v>33</v>
      </c>
      <c r="B113" s="115" t="s">
        <v>73</v>
      </c>
      <c r="C113" s="118" t="s">
        <v>110</v>
      </c>
      <c r="D113" s="116" t="s">
        <v>21</v>
      </c>
      <c r="E113" s="116">
        <f>12*3</f>
        <v>36</v>
      </c>
      <c r="F113" s="14">
        <v>8155.62</v>
      </c>
      <c r="G113" s="14">
        <f>INT(F113*E113*100)/100</f>
        <v>293602.32</v>
      </c>
    </row>
    <row r="114" spans="1:7" x14ac:dyDescent="0.25">
      <c r="A114" s="115"/>
      <c r="B114" s="115"/>
      <c r="C114" s="119" t="s">
        <v>226</v>
      </c>
      <c r="D114" s="116"/>
      <c r="E114" s="116"/>
      <c r="F114" s="14"/>
      <c r="G114" s="14"/>
    </row>
    <row r="115" spans="1:7" x14ac:dyDescent="0.25">
      <c r="A115" s="115"/>
      <c r="B115" s="115"/>
      <c r="C115" s="118"/>
      <c r="D115" s="116"/>
      <c r="E115" s="116"/>
      <c r="F115" s="14"/>
      <c r="G115" s="14"/>
    </row>
    <row r="116" spans="1:7" ht="127.5" x14ac:dyDescent="0.25">
      <c r="A116" s="115">
        <f>+A113+1</f>
        <v>34</v>
      </c>
      <c r="B116" s="115" t="s">
        <v>74</v>
      </c>
      <c r="C116" s="118" t="s">
        <v>111</v>
      </c>
      <c r="D116" s="116" t="s">
        <v>22</v>
      </c>
      <c r="E116" s="116">
        <f>2*12*22*4</f>
        <v>2112</v>
      </c>
      <c r="F116" s="14">
        <v>94.5</v>
      </c>
      <c r="G116" s="14">
        <f>INT(F116*E116*100)/100</f>
        <v>199584</v>
      </c>
    </row>
    <row r="117" spans="1:7" x14ac:dyDescent="0.25">
      <c r="A117" s="115"/>
      <c r="B117" s="115"/>
      <c r="C117" s="119" t="s">
        <v>235</v>
      </c>
      <c r="D117" s="116"/>
      <c r="E117" s="116"/>
      <c r="F117" s="14"/>
      <c r="G117" s="14"/>
    </row>
    <row r="118" spans="1:7" x14ac:dyDescent="0.25">
      <c r="A118" s="115"/>
      <c r="B118" s="115"/>
      <c r="C118" s="118"/>
      <c r="D118" s="116"/>
      <c r="E118" s="116"/>
      <c r="F118" s="14"/>
      <c r="G118" s="14"/>
    </row>
    <row r="119" spans="1:7" ht="127.5" x14ac:dyDescent="0.25">
      <c r="A119" s="115">
        <f>+A116+1</f>
        <v>35</v>
      </c>
      <c r="B119" s="115" t="s">
        <v>75</v>
      </c>
      <c r="C119" s="118" t="s">
        <v>123</v>
      </c>
      <c r="D119" s="116" t="s">
        <v>22</v>
      </c>
      <c r="E119" s="116">
        <f>2*12*22*4</f>
        <v>2112</v>
      </c>
      <c r="F119" s="14">
        <v>52.57</v>
      </c>
      <c r="G119" s="14">
        <f>INT(F119*E119*100)/100</f>
        <v>111027.84</v>
      </c>
    </row>
    <row r="120" spans="1:7" x14ac:dyDescent="0.25">
      <c r="A120" s="115"/>
      <c r="B120" s="115"/>
      <c r="C120" s="119" t="s">
        <v>235</v>
      </c>
      <c r="D120" s="116"/>
      <c r="E120" s="116"/>
      <c r="F120" s="14"/>
      <c r="G120" s="14"/>
    </row>
    <row r="121" spans="1:7" x14ac:dyDescent="0.25">
      <c r="A121" s="115"/>
      <c r="B121" s="115"/>
      <c r="C121" s="118"/>
      <c r="D121" s="116"/>
      <c r="E121" s="116"/>
      <c r="F121" s="14"/>
      <c r="G121" s="14"/>
    </row>
    <row r="122" spans="1:7" ht="51" x14ac:dyDescent="0.25">
      <c r="A122" s="115">
        <f>+A119+1</f>
        <v>36</v>
      </c>
      <c r="B122" s="115" t="s">
        <v>76</v>
      </c>
      <c r="C122" s="118" t="s">
        <v>113</v>
      </c>
      <c r="D122" s="116" t="s">
        <v>22</v>
      </c>
      <c r="E122" s="116">
        <f>12*12*4</f>
        <v>576</v>
      </c>
      <c r="F122" s="14">
        <v>83.54</v>
      </c>
      <c r="G122" s="14">
        <f>INT(F122*E122*100)/100</f>
        <v>48119.040000000001</v>
      </c>
    </row>
    <row r="123" spans="1:7" x14ac:dyDescent="0.25">
      <c r="A123" s="115"/>
      <c r="B123" s="115"/>
      <c r="C123" s="119" t="s">
        <v>211</v>
      </c>
      <c r="D123" s="117"/>
      <c r="E123" s="116"/>
      <c r="F123" s="14"/>
      <c r="G123" s="14"/>
    </row>
    <row r="124" spans="1:7" x14ac:dyDescent="0.25">
      <c r="A124" s="115"/>
      <c r="B124" s="115"/>
      <c r="C124" s="119"/>
      <c r="D124" s="117"/>
      <c r="E124" s="116"/>
      <c r="F124" s="14"/>
      <c r="G124" s="14"/>
    </row>
    <row r="125" spans="1:7" ht="51" x14ac:dyDescent="0.25">
      <c r="A125" s="115">
        <f>+A122+1</f>
        <v>37</v>
      </c>
      <c r="B125" s="115" t="s">
        <v>77</v>
      </c>
      <c r="C125" s="118" t="s">
        <v>94</v>
      </c>
      <c r="D125" s="116" t="s">
        <v>22</v>
      </c>
      <c r="E125" s="116">
        <f>12*12*4</f>
        <v>576</v>
      </c>
      <c r="F125" s="14">
        <v>47.27</v>
      </c>
      <c r="G125" s="14">
        <f>INT(F125*E125*100)/100</f>
        <v>27227.52</v>
      </c>
    </row>
    <row r="126" spans="1:7" x14ac:dyDescent="0.25">
      <c r="A126" s="115"/>
      <c r="B126" s="115"/>
      <c r="C126" s="119" t="s">
        <v>211</v>
      </c>
      <c r="D126" s="117"/>
      <c r="E126" s="116"/>
      <c r="F126" s="14"/>
      <c r="G126" s="14"/>
    </row>
    <row r="127" spans="1:7" x14ac:dyDescent="0.25">
      <c r="A127" s="115"/>
      <c r="B127" s="115"/>
      <c r="C127" s="119"/>
      <c r="D127" s="117"/>
      <c r="E127" s="116"/>
      <c r="F127" s="14"/>
      <c r="G127" s="14"/>
    </row>
    <row r="128" spans="1:7" ht="76.5" x14ac:dyDescent="0.25">
      <c r="A128" s="115">
        <f>+A125+1</f>
        <v>38</v>
      </c>
      <c r="B128" s="115" t="s">
        <v>238</v>
      </c>
      <c r="C128" s="119" t="s">
        <v>203</v>
      </c>
      <c r="D128" s="117" t="s">
        <v>22</v>
      </c>
      <c r="E128" s="116">
        <v>576</v>
      </c>
      <c r="F128" s="14"/>
      <c r="G128" s="14"/>
    </row>
    <row r="129" spans="1:7" x14ac:dyDescent="0.25">
      <c r="A129" s="115"/>
      <c r="B129" s="115"/>
      <c r="C129" s="119" t="s">
        <v>240</v>
      </c>
      <c r="D129" s="117"/>
      <c r="E129" s="116"/>
      <c r="F129" s="14"/>
      <c r="G129" s="14"/>
    </row>
    <row r="130" spans="1:7" x14ac:dyDescent="0.25">
      <c r="A130" s="115"/>
      <c r="B130" s="115"/>
      <c r="C130" s="119"/>
      <c r="D130" s="117"/>
      <c r="E130" s="116"/>
      <c r="F130" s="14"/>
      <c r="G130" s="14"/>
    </row>
    <row r="131" spans="1:7" ht="76.5" x14ac:dyDescent="0.25">
      <c r="A131" s="115">
        <f>+A128+1</f>
        <v>39</v>
      </c>
      <c r="B131" s="115" t="s">
        <v>239</v>
      </c>
      <c r="C131" s="119" t="s">
        <v>204</v>
      </c>
      <c r="D131" s="117" t="s">
        <v>22</v>
      </c>
      <c r="E131" s="116">
        <v>576</v>
      </c>
      <c r="F131" s="14"/>
      <c r="G131" s="14"/>
    </row>
    <row r="132" spans="1:7" x14ac:dyDescent="0.25">
      <c r="A132" s="115"/>
      <c r="B132" s="115"/>
      <c r="C132" s="119" t="s">
        <v>240</v>
      </c>
      <c r="D132" s="117"/>
      <c r="E132" s="116"/>
      <c r="F132" s="14"/>
      <c r="G132" s="14"/>
    </row>
    <row r="133" spans="1:7" x14ac:dyDescent="0.25">
      <c r="A133" s="115"/>
      <c r="B133" s="115"/>
      <c r="C133" s="119"/>
      <c r="D133" s="117"/>
      <c r="E133" s="116"/>
      <c r="F133" s="14"/>
      <c r="G133" s="14"/>
    </row>
    <row r="134" spans="1:7" ht="89.25" x14ac:dyDescent="0.25">
      <c r="A134" s="115">
        <f>+A131+1</f>
        <v>40</v>
      </c>
      <c r="B134" s="115" t="s">
        <v>201</v>
      </c>
      <c r="C134" s="119" t="s">
        <v>187</v>
      </c>
      <c r="D134" s="117" t="s">
        <v>22</v>
      </c>
      <c r="E134" s="116">
        <v>576</v>
      </c>
      <c r="F134" s="14"/>
      <c r="G134" s="14"/>
    </row>
    <row r="135" spans="1:7" x14ac:dyDescent="0.25">
      <c r="A135" s="115"/>
      <c r="B135" s="115"/>
      <c r="C135" s="119" t="s">
        <v>211</v>
      </c>
      <c r="D135" s="117"/>
      <c r="E135" s="116"/>
      <c r="F135" s="14"/>
      <c r="G135" s="14"/>
    </row>
    <row r="136" spans="1:7" x14ac:dyDescent="0.25">
      <c r="A136" s="115"/>
      <c r="B136" s="115"/>
      <c r="C136" s="119"/>
      <c r="D136" s="117"/>
      <c r="E136" s="116"/>
      <c r="F136" s="14"/>
      <c r="G136" s="14"/>
    </row>
    <row r="137" spans="1:7" ht="38.25" x14ac:dyDescent="0.25">
      <c r="A137" s="115">
        <f>+A134+1</f>
        <v>41</v>
      </c>
      <c r="B137" s="115" t="s">
        <v>78</v>
      </c>
      <c r="C137" s="118" t="s">
        <v>95</v>
      </c>
      <c r="D137" s="116" t="s">
        <v>13</v>
      </c>
      <c r="E137" s="116">
        <f>2000*0.25</f>
        <v>500</v>
      </c>
      <c r="F137" s="14">
        <v>37.53</v>
      </c>
      <c r="G137" s="14">
        <f>INT(F137*E137*100)/100</f>
        <v>18765</v>
      </c>
    </row>
    <row r="138" spans="1:7" x14ac:dyDescent="0.25">
      <c r="A138" s="115"/>
      <c r="B138" s="115"/>
      <c r="C138" s="118" t="s">
        <v>241</v>
      </c>
      <c r="D138" s="116"/>
      <c r="E138" s="116"/>
      <c r="F138" s="14"/>
      <c r="G138" s="14"/>
    </row>
    <row r="139" spans="1:7" x14ac:dyDescent="0.25">
      <c r="A139" s="115"/>
      <c r="B139" s="115"/>
      <c r="C139" s="119"/>
      <c r="D139" s="117"/>
      <c r="E139" s="116"/>
      <c r="F139" s="14"/>
      <c r="G139" s="14"/>
    </row>
    <row r="140" spans="1:7" ht="38.25" x14ac:dyDescent="0.25">
      <c r="A140" s="115">
        <f>+A137+1</f>
        <v>42</v>
      </c>
      <c r="B140" s="115" t="s">
        <v>79</v>
      </c>
      <c r="C140" s="118" t="s">
        <v>96</v>
      </c>
      <c r="D140" s="116" t="s">
        <v>10</v>
      </c>
      <c r="E140" s="116">
        <f>2000*0.5</f>
        <v>1000</v>
      </c>
      <c r="F140" s="14">
        <v>21.71</v>
      </c>
      <c r="G140" s="14">
        <f>INT(F140*E140*100)/100</f>
        <v>21710</v>
      </c>
    </row>
    <row r="141" spans="1:7" x14ac:dyDescent="0.25">
      <c r="A141" s="115"/>
      <c r="B141" s="115"/>
      <c r="C141" s="118" t="s">
        <v>242</v>
      </c>
      <c r="D141" s="116"/>
      <c r="E141" s="116"/>
      <c r="F141" s="14"/>
      <c r="G141" s="14"/>
    </row>
    <row r="142" spans="1:7" x14ac:dyDescent="0.25">
      <c r="A142" s="115"/>
      <c r="B142" s="115"/>
      <c r="C142" s="119"/>
      <c r="D142" s="117"/>
      <c r="E142" s="116"/>
      <c r="F142" s="14"/>
      <c r="G142" s="14"/>
    </row>
    <row r="143" spans="1:7" ht="25.5" x14ac:dyDescent="0.25">
      <c r="A143" s="115">
        <f>+A140+1</f>
        <v>43</v>
      </c>
      <c r="B143" s="115" t="s">
        <v>80</v>
      </c>
      <c r="C143" s="118" t="s">
        <v>114</v>
      </c>
      <c r="D143" s="116" t="s">
        <v>13</v>
      </c>
      <c r="E143" s="116">
        <f>+E137</f>
        <v>500</v>
      </c>
      <c r="F143" s="14">
        <v>307.33999999999997</v>
      </c>
      <c r="G143" s="14">
        <f>INT(F143*E143*100)/100</f>
        <v>153670</v>
      </c>
    </row>
    <row r="144" spans="1:7" x14ac:dyDescent="0.25">
      <c r="A144" s="115"/>
      <c r="B144" s="115"/>
      <c r="C144" s="118" t="s">
        <v>241</v>
      </c>
      <c r="D144" s="116"/>
      <c r="E144" s="116"/>
      <c r="F144" s="14"/>
      <c r="G144" s="14"/>
    </row>
    <row r="145" spans="1:7" x14ac:dyDescent="0.25">
      <c r="A145" s="115"/>
      <c r="B145" s="115"/>
      <c r="C145" s="118"/>
      <c r="D145" s="116"/>
      <c r="E145" s="116"/>
      <c r="F145" s="14"/>
      <c r="G145" s="14"/>
    </row>
    <row r="146" spans="1:7" ht="25.5" x14ac:dyDescent="0.25">
      <c r="A146" s="115">
        <f>+A143+1</f>
        <v>44</v>
      </c>
      <c r="B146" s="115" t="s">
        <v>81</v>
      </c>
      <c r="C146" s="118" t="s">
        <v>97</v>
      </c>
      <c r="D146" s="116" t="s">
        <v>13</v>
      </c>
      <c r="E146" s="116">
        <f>+E71*0.8*0.3</f>
        <v>180</v>
      </c>
      <c r="F146" s="14">
        <v>25.94</v>
      </c>
      <c r="G146" s="14">
        <f>INT(F146*E146*100)/100</f>
        <v>4669.2</v>
      </c>
    </row>
    <row r="147" spans="1:7" x14ac:dyDescent="0.25">
      <c r="A147" s="115"/>
      <c r="B147" s="115"/>
      <c r="C147" s="118" t="s">
        <v>243</v>
      </c>
      <c r="D147" s="116"/>
      <c r="E147" s="116"/>
      <c r="F147" s="14"/>
      <c r="G147" s="14"/>
    </row>
    <row r="148" spans="1:7" x14ac:dyDescent="0.25">
      <c r="A148" s="115"/>
      <c r="B148" s="115"/>
      <c r="C148" s="118"/>
      <c r="D148" s="116"/>
      <c r="E148" s="116"/>
      <c r="F148" s="14"/>
      <c r="G148" s="14"/>
    </row>
    <row r="149" spans="1:7" ht="25.5" x14ac:dyDescent="0.25">
      <c r="A149" s="115">
        <f>+A146+1</f>
        <v>45</v>
      </c>
      <c r="B149" s="115" t="s">
        <v>207</v>
      </c>
      <c r="C149" s="118" t="s">
        <v>205</v>
      </c>
      <c r="D149" s="116" t="s">
        <v>13</v>
      </c>
      <c r="E149" s="116">
        <f>SUM(D150:D157)</f>
        <v>2939.27</v>
      </c>
      <c r="F149" s="14"/>
      <c r="G149" s="14"/>
    </row>
    <row r="150" spans="1:7" x14ac:dyDescent="0.25">
      <c r="A150" s="115"/>
      <c r="B150" s="115"/>
      <c r="C150" s="118" t="s">
        <v>245</v>
      </c>
      <c r="D150" s="116">
        <f>+E77*0.8*1.5</f>
        <v>300</v>
      </c>
      <c r="E150" s="116"/>
      <c r="F150" s="14"/>
      <c r="G150" s="14"/>
    </row>
    <row r="151" spans="1:7" x14ac:dyDescent="0.25">
      <c r="A151" s="115"/>
      <c r="B151" s="115"/>
      <c r="C151" s="118" t="s">
        <v>244</v>
      </c>
      <c r="D151" s="116">
        <f>+E80*1.2*1.5</f>
        <v>180</v>
      </c>
      <c r="E151" s="116"/>
      <c r="F151" s="14"/>
      <c r="G151" s="14"/>
    </row>
    <row r="152" spans="1:7" x14ac:dyDescent="0.25">
      <c r="A152" s="115"/>
      <c r="B152" s="115"/>
      <c r="C152" s="118" t="s">
        <v>246</v>
      </c>
      <c r="D152" s="116">
        <f>+E83*1.6*1.5</f>
        <v>192</v>
      </c>
      <c r="E152" s="116"/>
      <c r="F152" s="14"/>
      <c r="G152" s="14"/>
    </row>
    <row r="153" spans="1:7" x14ac:dyDescent="0.25">
      <c r="A153" s="115"/>
      <c r="B153" s="115"/>
      <c r="C153" s="118" t="s">
        <v>247</v>
      </c>
      <c r="D153" s="116">
        <f>+E86*2*1.5</f>
        <v>180</v>
      </c>
      <c r="E153" s="116"/>
      <c r="F153" s="14"/>
      <c r="G153" s="14"/>
    </row>
    <row r="154" spans="1:7" x14ac:dyDescent="0.25">
      <c r="A154" s="115"/>
      <c r="B154" s="115"/>
      <c r="C154" s="118" t="s">
        <v>248</v>
      </c>
      <c r="D154" s="116">
        <f>+E89*(1.7*1.7)*1.5</f>
        <v>60.689999999999991</v>
      </c>
      <c r="E154" s="116"/>
      <c r="F154" s="14"/>
      <c r="G154" s="14"/>
    </row>
    <row r="155" spans="1:7" x14ac:dyDescent="0.25">
      <c r="A155" s="115"/>
      <c r="B155" s="115"/>
      <c r="C155" s="118" t="s">
        <v>249</v>
      </c>
      <c r="D155" s="116">
        <f>+E92*(1.8*1.8)*1.5</f>
        <v>14.580000000000002</v>
      </c>
      <c r="E155" s="116"/>
      <c r="F155" s="14"/>
      <c r="G155" s="14"/>
    </row>
    <row r="156" spans="1:7" x14ac:dyDescent="0.25">
      <c r="A156" s="115"/>
      <c r="B156" s="115"/>
      <c r="C156" s="118" t="s">
        <v>250</v>
      </c>
      <c r="D156" s="116">
        <f>+E95*(2*2)*1.5</f>
        <v>12</v>
      </c>
      <c r="E156" s="116"/>
      <c r="F156" s="14"/>
      <c r="G156" s="14"/>
    </row>
    <row r="157" spans="1:7" x14ac:dyDescent="0.25">
      <c r="A157" s="115"/>
      <c r="B157" s="115"/>
      <c r="C157" s="118" t="s">
        <v>251</v>
      </c>
      <c r="D157" s="116">
        <f>+E140*2*1</f>
        <v>2000</v>
      </c>
      <c r="E157" s="116"/>
      <c r="F157" s="14"/>
      <c r="G157" s="14"/>
    </row>
    <row r="158" spans="1:7" x14ac:dyDescent="0.25">
      <c r="A158" s="115"/>
      <c r="B158" s="115"/>
      <c r="C158" s="118"/>
      <c r="D158" s="116"/>
      <c r="E158" s="116"/>
      <c r="F158" s="14"/>
      <c r="G158" s="14"/>
    </row>
    <row r="159" spans="1:7" ht="25.5" x14ac:dyDescent="0.25">
      <c r="A159" s="115">
        <f>+A149+1</f>
        <v>46</v>
      </c>
      <c r="B159" s="115" t="s">
        <v>208</v>
      </c>
      <c r="C159" s="118" t="s">
        <v>206</v>
      </c>
      <c r="D159" s="116" t="s">
        <v>13</v>
      </c>
      <c r="E159" s="116">
        <v>404.58000000000004</v>
      </c>
      <c r="F159" s="14"/>
      <c r="G159" s="14"/>
    </row>
    <row r="160" spans="1:7" x14ac:dyDescent="0.25">
      <c r="A160" s="115"/>
      <c r="B160" s="115"/>
      <c r="C160" s="118" t="s">
        <v>246</v>
      </c>
      <c r="D160" s="116">
        <f>+E83*1.6*1.5</f>
        <v>192</v>
      </c>
      <c r="E160" s="116"/>
      <c r="F160" s="14"/>
      <c r="G160" s="14"/>
    </row>
    <row r="161" spans="1:7" x14ac:dyDescent="0.25">
      <c r="A161" s="115"/>
      <c r="B161" s="115"/>
      <c r="C161" s="118" t="s">
        <v>247</v>
      </c>
      <c r="D161" s="116">
        <f>+E86*2*1.5</f>
        <v>180</v>
      </c>
      <c r="E161" s="116"/>
      <c r="F161" s="14"/>
      <c r="G161" s="14"/>
    </row>
    <row r="162" spans="1:7" x14ac:dyDescent="0.25">
      <c r="A162" s="115"/>
      <c r="B162" s="115"/>
      <c r="C162" s="118" t="s">
        <v>249</v>
      </c>
      <c r="D162" s="116">
        <f>+E92*(1.8*1.8)*1.5</f>
        <v>14.580000000000002</v>
      </c>
      <c r="E162" s="116"/>
      <c r="F162" s="14"/>
      <c r="G162" s="14"/>
    </row>
    <row r="163" spans="1:7" x14ac:dyDescent="0.25">
      <c r="A163" s="115"/>
      <c r="B163" s="115"/>
      <c r="C163" s="118" t="s">
        <v>250</v>
      </c>
      <c r="D163" s="116">
        <f>+E95*(2*2)*1.5</f>
        <v>12</v>
      </c>
      <c r="E163" s="116"/>
      <c r="F163" s="14"/>
      <c r="G163" s="14"/>
    </row>
    <row r="164" spans="1:7" x14ac:dyDescent="0.25">
      <c r="A164" s="115"/>
      <c r="B164" s="115"/>
      <c r="C164" s="118"/>
      <c r="D164" s="116"/>
      <c r="E164" s="116"/>
      <c r="F164" s="14"/>
      <c r="G164" s="14"/>
    </row>
    <row r="165" spans="1:7" ht="38.25" x14ac:dyDescent="0.25">
      <c r="A165" s="115">
        <f>+A159+1</f>
        <v>47</v>
      </c>
      <c r="B165" s="115" t="s">
        <v>82</v>
      </c>
      <c r="C165" s="118" t="s">
        <v>115</v>
      </c>
      <c r="D165" s="116" t="s">
        <v>10</v>
      </c>
      <c r="E165" s="116">
        <f>SUM(D166:D170)</f>
        <v>3568</v>
      </c>
      <c r="F165" s="14">
        <v>10.9</v>
      </c>
      <c r="G165" s="14">
        <f>INT(F165*E165*100)/100</f>
        <v>38891.199999999997</v>
      </c>
    </row>
    <row r="166" spans="1:7" x14ac:dyDescent="0.25">
      <c r="A166" s="115"/>
      <c r="B166" s="115"/>
      <c r="C166" s="118" t="s">
        <v>252</v>
      </c>
      <c r="D166" s="116">
        <f>+E77*0.8</f>
        <v>200</v>
      </c>
      <c r="E166" s="116"/>
      <c r="F166" s="14"/>
      <c r="G166" s="14"/>
    </row>
    <row r="167" spans="1:7" x14ac:dyDescent="0.25">
      <c r="A167" s="115"/>
      <c r="B167" s="115"/>
      <c r="C167" s="118" t="s">
        <v>253</v>
      </c>
      <c r="D167" s="116">
        <f>+E80*1.2</f>
        <v>120</v>
      </c>
      <c r="E167" s="116"/>
      <c r="F167" s="14"/>
      <c r="G167" s="14"/>
    </row>
    <row r="168" spans="1:7" x14ac:dyDescent="0.25">
      <c r="A168" s="115"/>
      <c r="B168" s="115"/>
      <c r="C168" s="118" t="s">
        <v>254</v>
      </c>
      <c r="D168" s="116">
        <f>+E83*1.6</f>
        <v>128</v>
      </c>
      <c r="E168" s="116"/>
      <c r="F168" s="14"/>
      <c r="G168" s="14"/>
    </row>
    <row r="169" spans="1:7" x14ac:dyDescent="0.25">
      <c r="A169" s="115"/>
      <c r="B169" s="115"/>
      <c r="C169" s="118" t="s">
        <v>255</v>
      </c>
      <c r="D169" s="116">
        <f>+E86*2</f>
        <v>120</v>
      </c>
      <c r="E169" s="116"/>
      <c r="F169" s="14"/>
      <c r="G169" s="14"/>
    </row>
    <row r="170" spans="1:7" x14ac:dyDescent="0.25">
      <c r="A170" s="115"/>
      <c r="B170" s="115"/>
      <c r="C170" s="118" t="s">
        <v>256</v>
      </c>
      <c r="D170" s="116">
        <f>+E178</f>
        <v>3000</v>
      </c>
      <c r="E170" s="116"/>
      <c r="F170" s="14"/>
      <c r="G170" s="14"/>
    </row>
    <row r="171" spans="1:7" x14ac:dyDescent="0.25">
      <c r="A171" s="115"/>
      <c r="B171" s="115"/>
      <c r="C171" s="121"/>
      <c r="D171" s="116"/>
      <c r="E171" s="116"/>
      <c r="F171" s="14"/>
      <c r="G171" s="14"/>
    </row>
    <row r="172" spans="1:7" ht="25.5" x14ac:dyDescent="0.25">
      <c r="A172" s="115">
        <f>+A165+1</f>
        <v>48</v>
      </c>
      <c r="B172" s="115" t="s">
        <v>189</v>
      </c>
      <c r="C172" s="121" t="s">
        <v>175</v>
      </c>
      <c r="D172" s="116" t="s">
        <v>13</v>
      </c>
      <c r="E172" s="116">
        <v>1136</v>
      </c>
      <c r="F172" s="14"/>
      <c r="G172" s="14"/>
    </row>
    <row r="173" spans="1:7" x14ac:dyDescent="0.25">
      <c r="A173" s="115"/>
      <c r="B173" s="115"/>
      <c r="C173" s="118" t="s">
        <v>258</v>
      </c>
      <c r="D173" s="116">
        <f>+E80*0.8*2</f>
        <v>160</v>
      </c>
      <c r="E173" s="116"/>
      <c r="F173" s="14"/>
      <c r="G173" s="14"/>
    </row>
    <row r="174" spans="1:7" x14ac:dyDescent="0.25">
      <c r="A174" s="115"/>
      <c r="B174" s="115"/>
      <c r="C174" s="118" t="s">
        <v>259</v>
      </c>
      <c r="D174" s="116">
        <f>+E83*1.2*2</f>
        <v>192</v>
      </c>
      <c r="E174" s="116"/>
      <c r="F174" s="14"/>
      <c r="G174" s="14"/>
    </row>
    <row r="175" spans="1:7" x14ac:dyDescent="0.25">
      <c r="A175" s="115"/>
      <c r="B175" s="115"/>
      <c r="C175" s="118" t="s">
        <v>260</v>
      </c>
      <c r="D175" s="116">
        <f>+E86*1.6*2</f>
        <v>192</v>
      </c>
      <c r="E175" s="116"/>
      <c r="F175" s="14"/>
      <c r="G175" s="14"/>
    </row>
    <row r="176" spans="1:7" x14ac:dyDescent="0.25">
      <c r="A176" s="115"/>
      <c r="B176" s="115"/>
      <c r="C176" s="118" t="s">
        <v>257</v>
      </c>
      <c r="D176" s="116">
        <f>+E89*2*2</f>
        <v>56</v>
      </c>
      <c r="E176" s="116"/>
      <c r="F176" s="14"/>
      <c r="G176" s="14"/>
    </row>
    <row r="177" spans="1:7" x14ac:dyDescent="0.25">
      <c r="A177" s="115"/>
      <c r="B177" s="115"/>
      <c r="C177" s="121"/>
      <c r="D177" s="116"/>
      <c r="E177" s="116"/>
      <c r="F177" s="14"/>
      <c r="G177" s="14"/>
    </row>
    <row r="178" spans="1:7" ht="38.25" x14ac:dyDescent="0.25">
      <c r="A178" s="115">
        <f>+A172+1</f>
        <v>49</v>
      </c>
      <c r="B178" s="115" t="s">
        <v>83</v>
      </c>
      <c r="C178" s="118" t="s">
        <v>116</v>
      </c>
      <c r="D178" s="116" t="s">
        <v>10</v>
      </c>
      <c r="E178" s="116">
        <v>3000</v>
      </c>
      <c r="F178" s="14">
        <v>45.56</v>
      </c>
      <c r="G178" s="14">
        <f>INT(F178*E178*100)/100</f>
        <v>136680</v>
      </c>
    </row>
    <row r="179" spans="1:7" x14ac:dyDescent="0.25">
      <c r="A179" s="115"/>
      <c r="B179" s="115"/>
      <c r="C179" s="118" t="s">
        <v>124</v>
      </c>
      <c r="D179" s="116"/>
      <c r="E179" s="116"/>
      <c r="F179" s="14"/>
      <c r="G179" s="14"/>
    </row>
    <row r="180" spans="1:7" x14ac:dyDescent="0.25">
      <c r="A180" s="115"/>
      <c r="B180" s="115"/>
      <c r="C180" s="118"/>
      <c r="D180" s="116"/>
      <c r="E180" s="116"/>
      <c r="F180" s="14"/>
      <c r="G180" s="14"/>
    </row>
    <row r="181" spans="1:7" ht="38.25" x14ac:dyDescent="0.25">
      <c r="A181" s="115">
        <f>+A178+1</f>
        <v>50</v>
      </c>
      <c r="B181" s="115" t="s">
        <v>84</v>
      </c>
      <c r="C181" s="118" t="s">
        <v>117</v>
      </c>
      <c r="D181" s="116" t="s">
        <v>8</v>
      </c>
      <c r="E181" s="116">
        <v>750</v>
      </c>
      <c r="F181" s="14">
        <v>15.75</v>
      </c>
      <c r="G181" s="14">
        <f>INT(F181*E181*100)/100</f>
        <v>11812.5</v>
      </c>
    </row>
    <row r="182" spans="1:7" x14ac:dyDescent="0.25">
      <c r="A182" s="115"/>
      <c r="B182" s="115"/>
      <c r="C182" s="118" t="str">
        <f>+C72</f>
        <v>Estimativa a ser substituída/recuperada</v>
      </c>
      <c r="D182" s="116"/>
      <c r="E182" s="116"/>
      <c r="F182" s="14"/>
      <c r="G182" s="14"/>
    </row>
    <row r="183" spans="1:7" x14ac:dyDescent="0.25">
      <c r="A183" s="115"/>
      <c r="B183" s="115"/>
      <c r="C183" s="118"/>
      <c r="D183" s="116"/>
      <c r="E183" s="116"/>
      <c r="F183" s="14"/>
      <c r="G183" s="14"/>
    </row>
    <row r="184" spans="1:7" ht="38.25" x14ac:dyDescent="0.25">
      <c r="A184" s="115">
        <f>+A181+1</f>
        <v>51</v>
      </c>
      <c r="B184" s="115" t="s">
        <v>85</v>
      </c>
      <c r="C184" s="118" t="s">
        <v>118</v>
      </c>
      <c r="D184" s="116" t="s">
        <v>13</v>
      </c>
      <c r="E184" s="116">
        <f>+D185+D186</f>
        <v>350</v>
      </c>
      <c r="F184" s="14">
        <v>121.58</v>
      </c>
      <c r="G184" s="14">
        <f>INT(F184*E184*100)/100</f>
        <v>42553</v>
      </c>
    </row>
    <row r="185" spans="1:7" x14ac:dyDescent="0.25">
      <c r="A185" s="115"/>
      <c r="B185" s="115"/>
      <c r="C185" s="118" t="s">
        <v>262</v>
      </c>
      <c r="D185" s="116">
        <f>2000*0.1</f>
        <v>200</v>
      </c>
      <c r="E185" s="116"/>
      <c r="F185" s="14"/>
      <c r="G185" s="14"/>
    </row>
    <row r="186" spans="1:7" x14ac:dyDescent="0.25">
      <c r="A186" s="115"/>
      <c r="B186" s="115"/>
      <c r="C186" s="118" t="s">
        <v>263</v>
      </c>
      <c r="D186" s="116">
        <f>(E77*0.8+E80*1.2+E83*1.6+E86*2)*0.1+93.2</f>
        <v>150</v>
      </c>
      <c r="E186" s="116"/>
      <c r="F186" s="14"/>
      <c r="G186" s="14"/>
    </row>
    <row r="187" spans="1:7" x14ac:dyDescent="0.25">
      <c r="A187" s="115"/>
      <c r="B187" s="115"/>
      <c r="C187" s="118"/>
      <c r="D187" s="116"/>
      <c r="E187" s="116"/>
      <c r="F187" s="14"/>
      <c r="G187" s="14"/>
    </row>
    <row r="188" spans="1:7" ht="38.25" x14ac:dyDescent="0.25">
      <c r="A188" s="115">
        <f>+A184+1</f>
        <v>52</v>
      </c>
      <c r="B188" s="115" t="s">
        <v>86</v>
      </c>
      <c r="C188" s="118" t="s">
        <v>119</v>
      </c>
      <c r="D188" s="116" t="s">
        <v>10</v>
      </c>
      <c r="E188" s="116">
        <f>+D189+D190</f>
        <v>2250</v>
      </c>
      <c r="F188" s="14">
        <v>21.32</v>
      </c>
      <c r="G188" s="14">
        <f>INT(F188*E188*100)/100</f>
        <v>47970</v>
      </c>
    </row>
    <row r="189" spans="1:7" x14ac:dyDescent="0.25">
      <c r="A189" s="115"/>
      <c r="B189" s="115"/>
      <c r="C189" s="118" t="s">
        <v>264</v>
      </c>
      <c r="D189" s="116">
        <v>1650</v>
      </c>
      <c r="E189" s="116"/>
      <c r="F189" s="14"/>
      <c r="G189" s="14"/>
    </row>
    <row r="190" spans="1:7" x14ac:dyDescent="0.25">
      <c r="A190" s="115"/>
      <c r="B190" s="115"/>
      <c r="C190" s="118" t="s">
        <v>261</v>
      </c>
      <c r="D190" s="116">
        <f>(E77*0.8+E80*1.2+E83*1.6+E86*2)+32</f>
        <v>600</v>
      </c>
      <c r="E190" s="116"/>
      <c r="F190" s="14"/>
      <c r="G190" s="14"/>
    </row>
    <row r="191" spans="1:7" x14ac:dyDescent="0.25">
      <c r="A191" s="115"/>
      <c r="B191" s="115"/>
      <c r="C191" s="118"/>
      <c r="D191" s="116"/>
      <c r="E191" s="116"/>
      <c r="F191" s="14"/>
      <c r="G191" s="14"/>
    </row>
    <row r="192" spans="1:7" ht="25.5" x14ac:dyDescent="0.25">
      <c r="A192" s="115">
        <f>+A188+1</f>
        <v>53</v>
      </c>
      <c r="B192" s="115" t="s">
        <v>87</v>
      </c>
      <c r="C192" s="118" t="s">
        <v>99</v>
      </c>
      <c r="D192" s="116" t="s">
        <v>13</v>
      </c>
      <c r="E192" s="116">
        <f>+E59*0.3</f>
        <v>3000</v>
      </c>
      <c r="F192" s="14">
        <v>88.7</v>
      </c>
      <c r="G192" s="14">
        <f>INT(F192*E192*100)/100</f>
        <v>266100</v>
      </c>
    </row>
    <row r="193" spans="1:7" x14ac:dyDescent="0.25">
      <c r="A193" s="115"/>
      <c r="B193" s="115"/>
      <c r="C193" s="118" t="s">
        <v>265</v>
      </c>
      <c r="D193" s="116"/>
      <c r="E193" s="116"/>
      <c r="F193" s="14"/>
      <c r="G193" s="14"/>
    </row>
    <row r="194" spans="1:7" x14ac:dyDescent="0.25">
      <c r="A194" s="115"/>
      <c r="B194" s="115"/>
      <c r="C194" s="118"/>
      <c r="D194" s="116"/>
      <c r="E194" s="116"/>
      <c r="F194" s="14"/>
      <c r="G194" s="14"/>
    </row>
    <row r="195" spans="1:7" ht="51" x14ac:dyDescent="0.25">
      <c r="A195" s="115">
        <f>+A192+1</f>
        <v>54</v>
      </c>
      <c r="B195" s="115" t="s">
        <v>163</v>
      </c>
      <c r="C195" s="118" t="s">
        <v>159</v>
      </c>
      <c r="D195" s="116" t="s">
        <v>151</v>
      </c>
      <c r="E195" s="116">
        <v>120</v>
      </c>
      <c r="F195" s="14"/>
      <c r="G195" s="14"/>
    </row>
    <row r="196" spans="1:7" x14ac:dyDescent="0.25">
      <c r="A196" s="115"/>
      <c r="B196" s="115"/>
      <c r="C196" s="118" t="s">
        <v>122</v>
      </c>
      <c r="D196" s="116"/>
      <c r="E196" s="116"/>
      <c r="F196" s="14"/>
      <c r="G196" s="14"/>
    </row>
    <row r="197" spans="1:7" x14ac:dyDescent="0.25">
      <c r="A197" s="115"/>
      <c r="B197" s="115"/>
      <c r="C197" s="118"/>
      <c r="D197" s="116"/>
      <c r="E197" s="116"/>
      <c r="F197" s="14"/>
      <c r="G197" s="14"/>
    </row>
    <row r="198" spans="1:7" ht="51" x14ac:dyDescent="0.25">
      <c r="A198" s="115">
        <f>+A195+1</f>
        <v>55</v>
      </c>
      <c r="B198" s="115" t="s">
        <v>164</v>
      </c>
      <c r="C198" s="118" t="s">
        <v>160</v>
      </c>
      <c r="D198" s="116" t="s">
        <v>151</v>
      </c>
      <c r="E198" s="116">
        <v>150</v>
      </c>
      <c r="F198" s="14"/>
      <c r="G198" s="14"/>
    </row>
    <row r="199" spans="1:7" x14ac:dyDescent="0.25">
      <c r="A199" s="115"/>
      <c r="B199" s="115"/>
      <c r="C199" s="118" t="s">
        <v>122</v>
      </c>
      <c r="D199" s="116"/>
      <c r="E199" s="116"/>
      <c r="F199" s="14"/>
      <c r="G199" s="14"/>
    </row>
    <row r="200" spans="1:7" x14ac:dyDescent="0.25">
      <c r="A200" s="115"/>
      <c r="B200" s="115"/>
      <c r="C200" s="118"/>
      <c r="D200" s="116"/>
      <c r="E200" s="116"/>
      <c r="F200" s="14"/>
      <c r="G200" s="14"/>
    </row>
    <row r="201" spans="1:7" ht="51" x14ac:dyDescent="0.25">
      <c r="A201" s="115">
        <f>+A198+1</f>
        <v>56</v>
      </c>
      <c r="B201" s="115" t="s">
        <v>165</v>
      </c>
      <c r="C201" s="118" t="s">
        <v>161</v>
      </c>
      <c r="D201" s="116" t="s">
        <v>151</v>
      </c>
      <c r="E201" s="116">
        <v>80</v>
      </c>
      <c r="F201" s="14"/>
      <c r="G201" s="14"/>
    </row>
    <row r="202" spans="1:7" x14ac:dyDescent="0.25">
      <c r="A202" s="115"/>
      <c r="B202" s="115"/>
      <c r="C202" s="118" t="s">
        <v>122</v>
      </c>
      <c r="D202" s="116"/>
      <c r="E202" s="116"/>
      <c r="F202" s="14"/>
      <c r="G202" s="14"/>
    </row>
    <row r="203" spans="1:7" x14ac:dyDescent="0.25">
      <c r="A203" s="115"/>
      <c r="B203" s="115"/>
      <c r="C203" s="118"/>
      <c r="D203" s="116"/>
      <c r="E203" s="116"/>
      <c r="F203" s="14"/>
      <c r="G203" s="14"/>
    </row>
    <row r="204" spans="1:7" ht="51" x14ac:dyDescent="0.25">
      <c r="A204" s="115">
        <f>+A201+1</f>
        <v>57</v>
      </c>
      <c r="B204" s="115" t="s">
        <v>166</v>
      </c>
      <c r="C204" s="118" t="s">
        <v>162</v>
      </c>
      <c r="D204" s="116" t="s">
        <v>151</v>
      </c>
      <c r="E204" s="116">
        <v>250</v>
      </c>
      <c r="F204" s="14"/>
      <c r="G204" s="14"/>
    </row>
    <row r="205" spans="1:7" x14ac:dyDescent="0.25">
      <c r="A205" s="115"/>
      <c r="B205" s="115"/>
      <c r="C205" s="118" t="s">
        <v>122</v>
      </c>
      <c r="D205" s="116"/>
      <c r="E205" s="116"/>
      <c r="F205" s="14"/>
      <c r="G205" s="14"/>
    </row>
    <row r="206" spans="1:7" x14ac:dyDescent="0.25">
      <c r="A206" s="115"/>
      <c r="B206" s="115"/>
      <c r="C206" s="118"/>
      <c r="D206" s="116"/>
      <c r="E206" s="116"/>
      <c r="F206" s="14"/>
      <c r="G206" s="14"/>
    </row>
    <row r="207" spans="1:7" ht="25.5" x14ac:dyDescent="0.25">
      <c r="A207" s="115">
        <f>+A204+1</f>
        <v>58</v>
      </c>
      <c r="B207" s="115" t="s">
        <v>209</v>
      </c>
      <c r="C207" s="118" t="s">
        <v>210</v>
      </c>
      <c r="D207" s="116" t="s">
        <v>10</v>
      </c>
      <c r="E207" s="116">
        <v>250</v>
      </c>
      <c r="F207" s="14"/>
      <c r="G207" s="14"/>
    </row>
    <row r="208" spans="1:7" x14ac:dyDescent="0.25">
      <c r="A208" s="115"/>
      <c r="B208" s="115"/>
      <c r="C208" s="118" t="s">
        <v>266</v>
      </c>
      <c r="D208" s="116"/>
      <c r="E208" s="116"/>
      <c r="F208" s="14"/>
      <c r="G208" s="14"/>
    </row>
    <row r="209" spans="1:7" x14ac:dyDescent="0.25">
      <c r="A209" s="115"/>
      <c r="B209" s="115"/>
      <c r="C209" s="118"/>
      <c r="D209" s="116"/>
      <c r="E209" s="116"/>
      <c r="F209" s="14"/>
      <c r="G209" s="14"/>
    </row>
    <row r="210" spans="1:7" ht="51" x14ac:dyDescent="0.25">
      <c r="A210" s="115">
        <f>+A207+1</f>
        <v>59</v>
      </c>
      <c r="B210" s="115" t="s">
        <v>88</v>
      </c>
      <c r="C210" s="118" t="s">
        <v>125</v>
      </c>
      <c r="D210" s="116" t="s">
        <v>12</v>
      </c>
      <c r="E210" s="116">
        <f>+D211+D212</f>
        <v>218481.45</v>
      </c>
      <c r="F210" s="14">
        <v>1.32</v>
      </c>
      <c r="G210" s="14">
        <f>INT(F210*E210*100)/100</f>
        <v>288395.51</v>
      </c>
    </row>
    <row r="211" spans="1:7" x14ac:dyDescent="0.25">
      <c r="A211" s="115"/>
      <c r="B211" s="115"/>
      <c r="C211" s="118" t="s">
        <v>270</v>
      </c>
      <c r="D211" s="116">
        <f>(E214+E68*2.3)*15</f>
        <v>132231.45000000001</v>
      </c>
      <c r="E211" s="116"/>
      <c r="F211" s="14"/>
      <c r="G211" s="14"/>
    </row>
    <row r="212" spans="1:7" x14ac:dyDescent="0.25">
      <c r="A212" s="115"/>
      <c r="B212" s="115"/>
      <c r="C212" s="118" t="s">
        <v>16</v>
      </c>
      <c r="D212" s="116">
        <f>+E62*30</f>
        <v>86250</v>
      </c>
      <c r="E212" s="116"/>
      <c r="F212" s="14"/>
      <c r="G212" s="14"/>
    </row>
    <row r="213" spans="1:7" x14ac:dyDescent="0.25">
      <c r="A213" s="115"/>
      <c r="B213" s="115"/>
      <c r="C213" s="118"/>
      <c r="D213" s="116"/>
      <c r="E213" s="116"/>
      <c r="F213" s="14"/>
      <c r="G213" s="14"/>
    </row>
    <row r="214" spans="1:7" ht="51" x14ac:dyDescent="0.25">
      <c r="A214" s="115">
        <f t="shared" ref="A214" si="0">+A210+1</f>
        <v>60</v>
      </c>
      <c r="B214" s="115" t="s">
        <v>89</v>
      </c>
      <c r="C214" s="118" t="s">
        <v>126</v>
      </c>
      <c r="D214" s="116" t="s">
        <v>11</v>
      </c>
      <c r="E214" s="116">
        <f>+D215+D216+D217</f>
        <v>7665.43</v>
      </c>
      <c r="F214" s="14">
        <v>15.13</v>
      </c>
      <c r="G214" s="14">
        <f>INT(F214*E214*100)/100</f>
        <v>115977.95</v>
      </c>
    </row>
    <row r="215" spans="1:7" x14ac:dyDescent="0.25">
      <c r="A215" s="115"/>
      <c r="B215" s="115"/>
      <c r="C215" s="118" t="s">
        <v>267</v>
      </c>
      <c r="D215" s="116">
        <f>+E184*2.3</f>
        <v>804.99999999999989</v>
      </c>
      <c r="E215" s="116"/>
      <c r="F215" s="14"/>
      <c r="G215" s="14"/>
    </row>
    <row r="216" spans="1:7" ht="21" customHeight="1" x14ac:dyDescent="0.25">
      <c r="A216" s="113"/>
      <c r="B216" s="113"/>
      <c r="C216" s="118" t="s">
        <v>268</v>
      </c>
      <c r="D216" s="116">
        <f>+E188*0.1*2.3</f>
        <v>517.5</v>
      </c>
      <c r="E216" s="113"/>
      <c r="G216" s="12"/>
    </row>
    <row r="217" spans="1:7" x14ac:dyDescent="0.25">
      <c r="A217" s="113"/>
      <c r="B217" s="113"/>
      <c r="C217" s="118" t="s">
        <v>269</v>
      </c>
      <c r="D217" s="116">
        <f>(E146+E149+E159)*1.8</f>
        <v>6342.93</v>
      </c>
      <c r="E217" s="113"/>
      <c r="G217" s="12"/>
    </row>
    <row r="218" spans="1:7" x14ac:dyDescent="0.25">
      <c r="A218" s="113"/>
      <c r="B218" s="113"/>
      <c r="C218" s="122"/>
      <c r="D218" s="113"/>
      <c r="E218" s="113"/>
    </row>
    <row r="219" spans="1:7" x14ac:dyDescent="0.25">
      <c r="A219" s="113"/>
      <c r="B219" s="113"/>
      <c r="C219" s="113"/>
      <c r="D219" s="113"/>
      <c r="E219" s="113"/>
    </row>
    <row r="220" spans="1:7" x14ac:dyDescent="0.25">
      <c r="A220" s="113"/>
      <c r="B220" s="113"/>
      <c r="C220" s="113"/>
      <c r="D220" s="113"/>
      <c r="E220" s="113"/>
    </row>
    <row r="221" spans="1:7" x14ac:dyDescent="0.25">
      <c r="A221" s="113"/>
      <c r="B221" s="113"/>
      <c r="C221" s="113"/>
      <c r="D221" s="113"/>
      <c r="E221" s="113"/>
    </row>
    <row r="222" spans="1:7" x14ac:dyDescent="0.25">
      <c r="A222" s="113"/>
      <c r="B222" s="113"/>
      <c r="C222" s="113"/>
      <c r="D222" s="113"/>
      <c r="E222" s="113"/>
    </row>
    <row r="223" spans="1:7" x14ac:dyDescent="0.25">
      <c r="A223" s="113"/>
      <c r="B223" s="113"/>
      <c r="C223" s="113"/>
      <c r="D223" s="113"/>
      <c r="E223" s="113"/>
    </row>
    <row r="224" spans="1:7" x14ac:dyDescent="0.25">
      <c r="A224" s="113"/>
      <c r="B224" s="113"/>
      <c r="C224" s="113"/>
      <c r="D224" s="113"/>
      <c r="E224" s="113"/>
    </row>
    <row r="225" spans="1:5" x14ac:dyDescent="0.25">
      <c r="A225" s="113"/>
      <c r="B225" s="113"/>
      <c r="C225" s="113"/>
      <c r="D225" s="113"/>
      <c r="E225" s="113"/>
    </row>
    <row r="226" spans="1:5" x14ac:dyDescent="0.25">
      <c r="A226" s="113"/>
      <c r="B226" s="113"/>
      <c r="C226" s="113"/>
      <c r="D226" s="113"/>
      <c r="E226" s="113"/>
    </row>
    <row r="227" spans="1:5" x14ac:dyDescent="0.25">
      <c r="A227" s="113"/>
      <c r="B227" s="113"/>
      <c r="C227" s="113"/>
      <c r="D227" s="113"/>
      <c r="E227" s="113"/>
    </row>
    <row r="228" spans="1:5" x14ac:dyDescent="0.25">
      <c r="A228" s="113"/>
      <c r="B228" s="113"/>
      <c r="C228" s="113"/>
      <c r="D228" s="113"/>
      <c r="E228" s="113"/>
    </row>
    <row r="229" spans="1:5" x14ac:dyDescent="0.25">
      <c r="A229" s="113"/>
      <c r="B229" s="113"/>
      <c r="C229" s="113"/>
      <c r="D229" s="113"/>
      <c r="E229" s="113"/>
    </row>
    <row r="230" spans="1:5" x14ac:dyDescent="0.25">
      <c r="A230" s="113"/>
      <c r="B230" s="113"/>
      <c r="C230" s="113"/>
      <c r="D230" s="113"/>
      <c r="E230" s="113"/>
    </row>
    <row r="231" spans="1:5" x14ac:dyDescent="0.25">
      <c r="A231" s="113"/>
      <c r="B231" s="113"/>
      <c r="C231" s="113"/>
      <c r="D231" s="113"/>
      <c r="E231" s="113"/>
    </row>
    <row r="232" spans="1:5" x14ac:dyDescent="0.25">
      <c r="A232" s="113"/>
      <c r="B232" s="113"/>
      <c r="C232" s="113"/>
      <c r="D232" s="113"/>
      <c r="E232" s="113"/>
    </row>
    <row r="233" spans="1:5" x14ac:dyDescent="0.25">
      <c r="A233" s="113"/>
      <c r="B233" s="113"/>
      <c r="C233" s="113"/>
      <c r="D233" s="113"/>
      <c r="E233" s="113"/>
    </row>
    <row r="234" spans="1:5" x14ac:dyDescent="0.25">
      <c r="A234" s="113"/>
      <c r="B234" s="113"/>
      <c r="C234" s="113"/>
      <c r="D234" s="113"/>
      <c r="E234" s="113"/>
    </row>
    <row r="235" spans="1:5" x14ac:dyDescent="0.25">
      <c r="A235" s="113"/>
      <c r="B235" s="113"/>
      <c r="C235" s="113"/>
      <c r="D235" s="113"/>
      <c r="E235" s="113"/>
    </row>
    <row r="236" spans="1:5" x14ac:dyDescent="0.25">
      <c r="A236" s="113"/>
      <c r="B236" s="113"/>
      <c r="C236" s="113"/>
      <c r="D236" s="113"/>
      <c r="E236" s="113"/>
    </row>
    <row r="237" spans="1:5" x14ac:dyDescent="0.25">
      <c r="A237" s="113"/>
      <c r="B237" s="113"/>
      <c r="C237" s="113"/>
      <c r="D237" s="113"/>
      <c r="E237" s="113"/>
    </row>
    <row r="238" spans="1:5" x14ac:dyDescent="0.25">
      <c r="A238" s="113"/>
      <c r="B238" s="113"/>
      <c r="C238" s="113"/>
      <c r="D238" s="113"/>
      <c r="E238" s="113"/>
    </row>
    <row r="239" spans="1:5" x14ac:dyDescent="0.25">
      <c r="A239" s="113"/>
      <c r="B239" s="113"/>
      <c r="C239" s="113"/>
      <c r="D239" s="113"/>
      <c r="E239" s="113"/>
    </row>
    <row r="240" spans="1:5" x14ac:dyDescent="0.25">
      <c r="A240" s="113"/>
      <c r="B240" s="113"/>
      <c r="C240" s="113"/>
      <c r="D240" s="113"/>
      <c r="E240" s="113"/>
    </row>
    <row r="241" spans="1:5" x14ac:dyDescent="0.25">
      <c r="A241" s="113"/>
      <c r="B241" s="113"/>
      <c r="C241" s="113"/>
      <c r="D241" s="113"/>
      <c r="E241" s="113"/>
    </row>
    <row r="242" spans="1:5" x14ac:dyDescent="0.25">
      <c r="A242" s="113"/>
      <c r="B242" s="113"/>
      <c r="C242" s="113"/>
      <c r="D242" s="113"/>
      <c r="E242" s="113"/>
    </row>
    <row r="243" spans="1:5" x14ac:dyDescent="0.25">
      <c r="A243" s="113"/>
      <c r="B243" s="113"/>
      <c r="C243" s="113"/>
      <c r="D243" s="113"/>
      <c r="E243" s="113"/>
    </row>
    <row r="244" spans="1:5" x14ac:dyDescent="0.25">
      <c r="A244" s="113"/>
      <c r="B244" s="113"/>
      <c r="C244" s="113"/>
      <c r="D244" s="113"/>
      <c r="E244" s="113"/>
    </row>
    <row r="245" spans="1:5" x14ac:dyDescent="0.25">
      <c r="A245" s="113"/>
      <c r="B245" s="113"/>
      <c r="C245" s="113"/>
      <c r="D245" s="113"/>
      <c r="E245" s="113"/>
    </row>
    <row r="246" spans="1:5" x14ac:dyDescent="0.25">
      <c r="A246" s="113"/>
      <c r="B246" s="113"/>
      <c r="C246" s="113"/>
      <c r="D246" s="113"/>
      <c r="E246" s="113"/>
    </row>
    <row r="247" spans="1:5" x14ac:dyDescent="0.25">
      <c r="A247" s="113"/>
      <c r="B247" s="113"/>
      <c r="C247" s="113"/>
      <c r="D247" s="113"/>
      <c r="E247" s="113"/>
    </row>
    <row r="248" spans="1:5" x14ac:dyDescent="0.25">
      <c r="A248" s="113"/>
      <c r="B248" s="113"/>
      <c r="C248" s="113"/>
      <c r="D248" s="113"/>
      <c r="E248" s="113"/>
    </row>
    <row r="249" spans="1:5" x14ac:dyDescent="0.25">
      <c r="A249" s="113"/>
      <c r="B249" s="113"/>
      <c r="C249" s="113"/>
      <c r="D249" s="113"/>
      <c r="E249" s="113"/>
    </row>
    <row r="250" spans="1:5" x14ac:dyDescent="0.25">
      <c r="A250" s="113"/>
      <c r="B250" s="113"/>
      <c r="C250" s="113"/>
      <c r="D250" s="113"/>
      <c r="E250" s="113"/>
    </row>
    <row r="251" spans="1:5" x14ac:dyDescent="0.25">
      <c r="A251" s="113"/>
      <c r="B251" s="113"/>
      <c r="C251" s="113"/>
      <c r="D251" s="113"/>
      <c r="E251" s="113"/>
    </row>
    <row r="252" spans="1:5" x14ac:dyDescent="0.25">
      <c r="A252" s="113"/>
      <c r="B252" s="113"/>
      <c r="C252" s="113"/>
      <c r="D252" s="113"/>
      <c r="E252" s="113"/>
    </row>
    <row r="253" spans="1:5" x14ac:dyDescent="0.25">
      <c r="A253" s="113"/>
      <c r="B253" s="113"/>
      <c r="C253" s="113"/>
      <c r="D253" s="113"/>
      <c r="E253" s="113"/>
    </row>
    <row r="254" spans="1:5" x14ac:dyDescent="0.25">
      <c r="A254" s="113"/>
      <c r="B254" s="113"/>
      <c r="C254" s="113"/>
      <c r="D254" s="113"/>
      <c r="E254" s="113"/>
    </row>
    <row r="255" spans="1:5" x14ac:dyDescent="0.25">
      <c r="A255" s="113"/>
      <c r="B255" s="113"/>
      <c r="C255" s="113"/>
      <c r="D255" s="113"/>
      <c r="E255" s="113"/>
    </row>
    <row r="256" spans="1:5" x14ac:dyDescent="0.25">
      <c r="A256" s="113"/>
      <c r="B256" s="113"/>
      <c r="C256" s="113"/>
      <c r="D256" s="113"/>
      <c r="E256" s="113"/>
    </row>
    <row r="257" spans="1:5" x14ac:dyDescent="0.25">
      <c r="A257" s="113"/>
      <c r="B257" s="113"/>
      <c r="C257" s="113"/>
      <c r="D257" s="113"/>
      <c r="E257" s="113"/>
    </row>
  </sheetData>
  <mergeCells count="6">
    <mergeCell ref="A7:E7"/>
    <mergeCell ref="A1:E1"/>
    <mergeCell ref="A2:E2"/>
    <mergeCell ref="A4:E4"/>
    <mergeCell ref="A5:E5"/>
    <mergeCell ref="A6:E6"/>
  </mergeCells>
  <pageMargins left="0.51181102362204722" right="0.15748031496062992" top="0.64" bottom="0.45" header="0.31496062992125984" footer="0.31496062992125984"/>
  <pageSetup paperSize="9" orientation="portrait" r:id="rId1"/>
  <rowBreaks count="1" manualBreakCount="1">
    <brk id="148" max="4"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45"/>
  <sheetViews>
    <sheetView workbookViewId="0">
      <selection activeCell="K11" sqref="K11"/>
    </sheetView>
  </sheetViews>
  <sheetFormatPr defaultRowHeight="15" x14ac:dyDescent="0.25"/>
  <sheetData>
    <row r="1" spans="1:8" x14ac:dyDescent="0.25">
      <c r="A1" s="17"/>
      <c r="B1" s="17"/>
      <c r="C1" s="17"/>
      <c r="D1" s="17"/>
      <c r="E1" s="17"/>
      <c r="F1" s="17"/>
      <c r="G1" s="17"/>
      <c r="H1" s="18"/>
    </row>
    <row r="2" spans="1:8" x14ac:dyDescent="0.25">
      <c r="A2" s="19"/>
      <c r="B2" s="20"/>
      <c r="C2" s="21"/>
      <c r="D2" s="21"/>
      <c r="E2" s="21"/>
      <c r="F2" s="21"/>
      <c r="G2" s="22"/>
      <c r="H2" s="23"/>
    </row>
    <row r="3" spans="1:8" x14ac:dyDescent="0.25">
      <c r="A3" s="187" t="s">
        <v>28</v>
      </c>
      <c r="B3" s="188"/>
      <c r="C3" s="188"/>
      <c r="D3" s="188"/>
      <c r="E3" s="188"/>
      <c r="F3" s="188"/>
      <c r="G3" s="188"/>
      <c r="H3" s="189"/>
    </row>
    <row r="4" spans="1:8" x14ac:dyDescent="0.25">
      <c r="A4" s="190"/>
      <c r="B4" s="191"/>
      <c r="C4" s="191"/>
      <c r="D4" s="191"/>
      <c r="E4" s="191"/>
      <c r="F4" s="191"/>
      <c r="G4" s="191"/>
      <c r="H4" s="192"/>
    </row>
    <row r="5" spans="1:8" x14ac:dyDescent="0.25">
      <c r="A5" s="24"/>
      <c r="B5" s="25"/>
      <c r="C5" s="26"/>
      <c r="D5" s="25"/>
      <c r="E5" s="25"/>
      <c r="F5" s="25"/>
      <c r="G5" s="25"/>
      <c r="H5" s="27"/>
    </row>
    <row r="7" spans="1:8" ht="31.5" customHeight="1" x14ac:dyDescent="0.25">
      <c r="A7" s="199" t="s">
        <v>284</v>
      </c>
      <c r="B7" s="199"/>
      <c r="C7" s="199"/>
      <c r="D7" s="199"/>
      <c r="E7" s="199"/>
      <c r="F7" s="199"/>
      <c r="G7" s="199"/>
      <c r="H7" s="199"/>
    </row>
    <row r="8" spans="1:8" ht="15.75" x14ac:dyDescent="0.25">
      <c r="A8" s="28"/>
      <c r="B8" s="29"/>
      <c r="C8" s="30"/>
      <c r="D8" s="30"/>
      <c r="E8" s="31"/>
      <c r="F8" s="31"/>
      <c r="G8" s="31"/>
      <c r="H8" s="31"/>
    </row>
    <row r="9" spans="1:8" x14ac:dyDescent="0.25">
      <c r="A9" s="162" t="s">
        <v>29</v>
      </c>
      <c r="B9" s="163"/>
      <c r="C9" s="163"/>
      <c r="D9" s="163"/>
      <c r="E9" s="163"/>
      <c r="F9" s="163"/>
      <c r="G9" s="163"/>
      <c r="H9" s="164"/>
    </row>
    <row r="10" spans="1:8" ht="22.5" x14ac:dyDescent="0.25">
      <c r="A10" s="165" t="s">
        <v>30</v>
      </c>
      <c r="B10" s="166"/>
      <c r="C10" s="166"/>
      <c r="D10" s="166"/>
      <c r="E10" s="166"/>
      <c r="F10" s="166"/>
      <c r="G10" s="167"/>
      <c r="H10" s="32" t="s">
        <v>31</v>
      </c>
    </row>
    <row r="11" spans="1:8" x14ac:dyDescent="0.25">
      <c r="A11" s="33" t="s">
        <v>32</v>
      </c>
      <c r="B11" s="34"/>
      <c r="C11" s="34"/>
      <c r="D11" s="34"/>
      <c r="E11" s="34"/>
      <c r="F11" s="35"/>
      <c r="G11" s="36"/>
      <c r="H11" s="37">
        <v>4</v>
      </c>
    </row>
    <row r="12" spans="1:8" x14ac:dyDescent="0.25">
      <c r="A12" s="33" t="s">
        <v>33</v>
      </c>
      <c r="B12" s="34"/>
      <c r="C12" s="34"/>
      <c r="D12" s="34"/>
      <c r="E12" s="34"/>
      <c r="F12" s="35"/>
      <c r="G12" s="36"/>
      <c r="H12" s="37">
        <v>1</v>
      </c>
    </row>
    <row r="13" spans="1:8" x14ac:dyDescent="0.25">
      <c r="A13" s="33" t="s">
        <v>34</v>
      </c>
      <c r="B13" s="34"/>
      <c r="C13" s="34"/>
      <c r="D13" s="34"/>
      <c r="E13" s="34"/>
      <c r="F13" s="35"/>
      <c r="G13" s="36"/>
      <c r="H13" s="37">
        <v>0.5</v>
      </c>
    </row>
    <row r="14" spans="1:8" x14ac:dyDescent="0.25">
      <c r="A14" s="33" t="s">
        <v>35</v>
      </c>
      <c r="B14" s="34"/>
      <c r="C14" s="34"/>
      <c r="D14" s="34"/>
      <c r="E14" s="34"/>
      <c r="F14" s="35"/>
      <c r="G14" s="36"/>
      <c r="H14" s="38">
        <v>0</v>
      </c>
    </row>
    <row r="15" spans="1:8" x14ac:dyDescent="0.25">
      <c r="A15" s="168" t="s">
        <v>36</v>
      </c>
      <c r="B15" s="169"/>
      <c r="C15" s="169"/>
      <c r="D15" s="169"/>
      <c r="E15" s="169"/>
      <c r="F15" s="169"/>
      <c r="G15" s="169"/>
      <c r="H15" s="39">
        <f>SUM(H11:H14)</f>
        <v>5.5</v>
      </c>
    </row>
    <row r="16" spans="1:8" x14ac:dyDescent="0.25">
      <c r="A16" s="162" t="s">
        <v>37</v>
      </c>
      <c r="B16" s="163"/>
      <c r="C16" s="163"/>
      <c r="D16" s="163"/>
      <c r="E16" s="163"/>
      <c r="F16" s="163"/>
      <c r="G16" s="163"/>
      <c r="H16" s="164"/>
    </row>
    <row r="17" spans="1:8" ht="22.5" x14ac:dyDescent="0.25">
      <c r="A17" s="165" t="s">
        <v>30</v>
      </c>
      <c r="B17" s="166"/>
      <c r="C17" s="166"/>
      <c r="D17" s="166"/>
      <c r="E17" s="166"/>
      <c r="F17" s="166"/>
      <c r="G17" s="167"/>
      <c r="H17" s="32" t="s">
        <v>31</v>
      </c>
    </row>
    <row r="18" spans="1:8" x14ac:dyDescent="0.25">
      <c r="A18" s="40" t="s">
        <v>38</v>
      </c>
      <c r="B18" s="41"/>
      <c r="C18" s="41"/>
      <c r="D18" s="41"/>
      <c r="E18" s="42"/>
      <c r="F18" s="43"/>
      <c r="G18" s="44"/>
      <c r="H18" s="37">
        <v>0.8</v>
      </c>
    </row>
    <row r="19" spans="1:8" x14ac:dyDescent="0.25">
      <c r="A19" s="168" t="s">
        <v>39</v>
      </c>
      <c r="B19" s="169"/>
      <c r="C19" s="169"/>
      <c r="D19" s="169"/>
      <c r="E19" s="169"/>
      <c r="F19" s="169"/>
      <c r="G19" s="169"/>
      <c r="H19" s="39">
        <f>SUM(H18:H18)</f>
        <v>0.8</v>
      </c>
    </row>
    <row r="20" spans="1:8" x14ac:dyDescent="0.25">
      <c r="A20" s="162" t="s">
        <v>40</v>
      </c>
      <c r="B20" s="163"/>
      <c r="C20" s="163"/>
      <c r="D20" s="163"/>
      <c r="E20" s="163"/>
      <c r="F20" s="163"/>
      <c r="G20" s="163"/>
      <c r="H20" s="164"/>
    </row>
    <row r="21" spans="1:8" ht="22.5" x14ac:dyDescent="0.25">
      <c r="A21" s="165" t="s">
        <v>30</v>
      </c>
      <c r="B21" s="166"/>
      <c r="C21" s="166"/>
      <c r="D21" s="166"/>
      <c r="E21" s="166"/>
      <c r="F21" s="166"/>
      <c r="G21" s="167"/>
      <c r="H21" s="32" t="s">
        <v>31</v>
      </c>
    </row>
    <row r="22" spans="1:8" x14ac:dyDescent="0.25">
      <c r="A22" s="193" t="s">
        <v>41</v>
      </c>
      <c r="B22" s="194"/>
      <c r="C22" s="194"/>
      <c r="D22" s="194"/>
      <c r="E22" s="194"/>
      <c r="F22" s="194"/>
      <c r="G22" s="195"/>
      <c r="H22" s="37">
        <v>5</v>
      </c>
    </row>
    <row r="23" spans="1:8" x14ac:dyDescent="0.25">
      <c r="A23" s="168" t="s">
        <v>42</v>
      </c>
      <c r="B23" s="169"/>
      <c r="C23" s="169"/>
      <c r="D23" s="169"/>
      <c r="E23" s="169"/>
      <c r="F23" s="169"/>
      <c r="G23" s="169"/>
      <c r="H23" s="39">
        <f>SUM(H22:H22)</f>
        <v>5</v>
      </c>
    </row>
    <row r="24" spans="1:8" x14ac:dyDescent="0.25">
      <c r="A24" s="162" t="s">
        <v>43</v>
      </c>
      <c r="B24" s="163"/>
      <c r="C24" s="163"/>
      <c r="D24" s="163"/>
      <c r="E24" s="163"/>
      <c r="F24" s="163"/>
      <c r="G24" s="163"/>
      <c r="H24" s="164"/>
    </row>
    <row r="25" spans="1:8" ht="22.5" x14ac:dyDescent="0.25">
      <c r="A25" s="165" t="s">
        <v>30</v>
      </c>
      <c r="B25" s="166"/>
      <c r="C25" s="166"/>
      <c r="D25" s="166"/>
      <c r="E25" s="166"/>
      <c r="F25" s="166"/>
      <c r="G25" s="167"/>
      <c r="H25" s="32" t="s">
        <v>31</v>
      </c>
    </row>
    <row r="26" spans="1:8" x14ac:dyDescent="0.25">
      <c r="A26" s="33" t="s">
        <v>44</v>
      </c>
      <c r="B26" s="34"/>
      <c r="C26" s="34"/>
      <c r="D26" s="34"/>
      <c r="E26" s="34"/>
      <c r="F26" s="35"/>
      <c r="G26" s="45"/>
      <c r="H26" s="37">
        <v>5</v>
      </c>
    </row>
    <row r="27" spans="1:8" x14ac:dyDescent="0.25">
      <c r="A27" s="33" t="s">
        <v>45</v>
      </c>
      <c r="B27" s="34"/>
      <c r="C27" s="34"/>
      <c r="D27" s="34"/>
      <c r="E27" s="34"/>
      <c r="F27" s="35"/>
      <c r="G27" s="45"/>
      <c r="H27" s="46">
        <v>3</v>
      </c>
    </row>
    <row r="28" spans="1:8" x14ac:dyDescent="0.25">
      <c r="A28" s="33" t="s">
        <v>46</v>
      </c>
      <c r="B28" s="34"/>
      <c r="C28" s="34"/>
      <c r="D28" s="34"/>
      <c r="E28" s="34"/>
      <c r="F28" s="35"/>
      <c r="G28" s="45"/>
      <c r="H28" s="46">
        <v>0.65</v>
      </c>
    </row>
    <row r="29" spans="1:8" x14ac:dyDescent="0.25">
      <c r="A29" s="33" t="s">
        <v>47</v>
      </c>
      <c r="B29" s="34"/>
      <c r="C29" s="34"/>
      <c r="D29" s="34"/>
      <c r="E29" s="34"/>
      <c r="F29" s="35"/>
      <c r="G29" s="45"/>
      <c r="H29" s="46">
        <v>4.5</v>
      </c>
    </row>
    <row r="30" spans="1:8" x14ac:dyDescent="0.25">
      <c r="A30" s="168" t="s">
        <v>48</v>
      </c>
      <c r="B30" s="169"/>
      <c r="C30" s="169"/>
      <c r="D30" s="169"/>
      <c r="E30" s="169"/>
      <c r="F30" s="169"/>
      <c r="G30" s="170"/>
      <c r="H30" s="39">
        <f>SUM(H26:H29)</f>
        <v>13.15</v>
      </c>
    </row>
    <row r="31" spans="1:8" x14ac:dyDescent="0.25">
      <c r="A31" s="47"/>
      <c r="B31" s="48"/>
      <c r="C31" s="49"/>
      <c r="D31" s="50"/>
      <c r="E31" s="50"/>
      <c r="F31" s="50"/>
      <c r="G31" s="50"/>
      <c r="H31" s="51"/>
    </row>
    <row r="32" spans="1:8" x14ac:dyDescent="0.25">
      <c r="A32" s="171" t="s">
        <v>49</v>
      </c>
      <c r="B32" s="171"/>
      <c r="C32" s="171"/>
      <c r="D32" s="171"/>
      <c r="E32" s="171"/>
      <c r="F32" s="171"/>
      <c r="G32" s="171"/>
      <c r="H32" s="171"/>
    </row>
    <row r="33" spans="1:8" ht="15.75" thickBot="1" x14ac:dyDescent="0.3">
      <c r="A33" s="52"/>
      <c r="B33" s="52"/>
      <c r="C33" s="52"/>
      <c r="D33" s="52"/>
      <c r="E33" s="52"/>
      <c r="F33" s="52"/>
      <c r="G33" s="52"/>
      <c r="H33" s="52"/>
    </row>
    <row r="34" spans="1:8" ht="15.75" thickBot="1" x14ac:dyDescent="0.3">
      <c r="A34" s="172" t="s">
        <v>50</v>
      </c>
      <c r="B34" s="175" t="s">
        <v>51</v>
      </c>
      <c r="C34" s="175"/>
      <c r="D34" s="175"/>
      <c r="E34" s="175"/>
      <c r="F34" s="175"/>
      <c r="G34" s="176" t="s">
        <v>52</v>
      </c>
      <c r="H34" s="179" t="s">
        <v>53</v>
      </c>
    </row>
    <row r="35" spans="1:8" x14ac:dyDescent="0.25">
      <c r="A35" s="173"/>
      <c r="B35" s="182"/>
      <c r="C35" s="184" t="s">
        <v>54</v>
      </c>
      <c r="D35" s="185"/>
      <c r="E35" s="185"/>
      <c r="F35" s="185"/>
      <c r="G35" s="177"/>
      <c r="H35" s="180"/>
    </row>
    <row r="36" spans="1:8" ht="15.75" thickBot="1" x14ac:dyDescent="0.3">
      <c r="A36" s="174"/>
      <c r="B36" s="183"/>
      <c r="C36" s="186"/>
      <c r="D36" s="186"/>
      <c r="E36" s="186"/>
      <c r="F36" s="186"/>
      <c r="G36" s="178"/>
      <c r="H36" s="181"/>
    </row>
    <row r="37" spans="1:8" x14ac:dyDescent="0.25">
      <c r="A37" s="53"/>
      <c r="B37" s="54"/>
      <c r="C37" s="55"/>
      <c r="D37" s="55"/>
      <c r="E37" s="55"/>
      <c r="F37" s="55"/>
      <c r="G37" s="111"/>
      <c r="H37" s="56"/>
    </row>
    <row r="38" spans="1:8" x14ac:dyDescent="0.25">
      <c r="A38" s="155" t="s">
        <v>55</v>
      </c>
      <c r="B38" s="155"/>
      <c r="C38" s="155"/>
      <c r="D38" s="155"/>
      <c r="E38" s="155"/>
      <c r="F38" s="155"/>
      <c r="G38" s="155"/>
      <c r="H38" s="155"/>
    </row>
    <row r="39" spans="1:8" x14ac:dyDescent="0.25">
      <c r="A39" s="155" t="s">
        <v>56</v>
      </c>
      <c r="B39" s="155"/>
      <c r="C39" s="155"/>
      <c r="D39" s="155"/>
      <c r="E39" s="155"/>
      <c r="F39" s="155"/>
      <c r="G39" s="155"/>
      <c r="H39" s="155"/>
    </row>
    <row r="40" spans="1:8" x14ac:dyDescent="0.25">
      <c r="A40" s="155" t="s">
        <v>57</v>
      </c>
      <c r="B40" s="155"/>
      <c r="C40" s="155"/>
      <c r="D40" s="155"/>
      <c r="E40" s="155"/>
      <c r="F40" s="155"/>
      <c r="G40" s="155"/>
      <c r="H40" s="155"/>
    </row>
    <row r="41" spans="1:8" x14ac:dyDescent="0.25">
      <c r="A41" s="155" t="s">
        <v>58</v>
      </c>
      <c r="B41" s="155"/>
      <c r="C41" s="155"/>
      <c r="D41" s="155"/>
      <c r="E41" s="155"/>
      <c r="F41" s="155"/>
      <c r="G41" s="155"/>
      <c r="H41" s="155"/>
    </row>
    <row r="42" spans="1:8" ht="15.75" thickBot="1" x14ac:dyDescent="0.3">
      <c r="A42" s="53"/>
      <c r="B42" s="54"/>
      <c r="C42" s="55"/>
      <c r="D42" s="55"/>
      <c r="E42" s="55"/>
      <c r="F42" s="55"/>
      <c r="G42" s="111"/>
      <c r="H42" s="56"/>
    </row>
    <row r="43" spans="1:8" ht="15.75" thickTop="1" x14ac:dyDescent="0.25">
      <c r="E43" s="158" t="s">
        <v>59</v>
      </c>
      <c r="F43" s="159"/>
      <c r="G43" s="159"/>
      <c r="H43" s="156">
        <f>(ROUND((1+H15/100)*(1+H19/100)*(1+H23/100)/(1-H30/100),4))-1</f>
        <v>0.28570000000000007</v>
      </c>
    </row>
    <row r="44" spans="1:8" ht="15.75" thickBot="1" x14ac:dyDescent="0.3">
      <c r="A44" s="57"/>
      <c r="E44" s="160"/>
      <c r="F44" s="161"/>
      <c r="G44" s="161"/>
      <c r="H44" s="157"/>
    </row>
    <row r="45" spans="1:8" ht="15.75" thickTop="1" x14ac:dyDescent="0.25"/>
  </sheetData>
  <mergeCells count="28">
    <mergeCell ref="A23:G23"/>
    <mergeCell ref="A3:H4"/>
    <mergeCell ref="A7:H7"/>
    <mergeCell ref="A9:H9"/>
    <mergeCell ref="A10:G10"/>
    <mergeCell ref="A15:G15"/>
    <mergeCell ref="A16:H16"/>
    <mergeCell ref="A17:G17"/>
    <mergeCell ref="A19:G19"/>
    <mergeCell ref="A20:H20"/>
    <mergeCell ref="A21:G21"/>
    <mergeCell ref="A22:G22"/>
    <mergeCell ref="A24:H24"/>
    <mergeCell ref="A25:G25"/>
    <mergeCell ref="A30:G30"/>
    <mergeCell ref="A32:H32"/>
    <mergeCell ref="A34:A36"/>
    <mergeCell ref="B34:F34"/>
    <mergeCell ref="G34:G36"/>
    <mergeCell ref="H34:H36"/>
    <mergeCell ref="B35:B36"/>
    <mergeCell ref="C35:F36"/>
    <mergeCell ref="A38:H38"/>
    <mergeCell ref="A39:H39"/>
    <mergeCell ref="A40:H40"/>
    <mergeCell ref="A41:H41"/>
    <mergeCell ref="H43:H44"/>
    <mergeCell ref="E43:G44"/>
  </mergeCells>
  <pageMargins left="0.511811024" right="0.511811024" top="0.78740157499999996" bottom="0.78740157499999996" header="0.31496062000000002" footer="0.31496062000000002"/>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J30"/>
  <sheetViews>
    <sheetView tabSelected="1" workbookViewId="0">
      <selection activeCell="N16" sqref="N16"/>
    </sheetView>
  </sheetViews>
  <sheetFormatPr defaultRowHeight="15" x14ac:dyDescent="0.25"/>
  <cols>
    <col min="1" max="1" width="11.42578125" customWidth="1"/>
    <col min="2" max="2" width="15.7109375" customWidth="1"/>
    <col min="4" max="4" width="11.140625" customWidth="1"/>
    <col min="6" max="6" width="11.28515625" bestFit="1" customWidth="1"/>
    <col min="7" max="7" width="13.42578125" customWidth="1"/>
    <col min="8" max="8" width="17.28515625" customWidth="1"/>
    <col min="9" max="9" width="13.5703125" customWidth="1"/>
    <col min="10" max="10" width="15.42578125" customWidth="1"/>
  </cols>
  <sheetData>
    <row r="1" spans="1:10" ht="18.75" x14ac:dyDescent="0.3">
      <c r="A1" s="153" t="s">
        <v>14</v>
      </c>
      <c r="B1" s="153"/>
      <c r="C1" s="153"/>
      <c r="D1" s="153"/>
      <c r="E1" s="153"/>
      <c r="F1" s="153"/>
    </row>
    <row r="2" spans="1:10" ht="18.75" x14ac:dyDescent="0.3">
      <c r="A2" s="153" t="s">
        <v>15</v>
      </c>
      <c r="B2" s="153"/>
      <c r="C2" s="153"/>
      <c r="D2" s="153"/>
      <c r="E2" s="153"/>
      <c r="F2" s="153"/>
    </row>
    <row r="3" spans="1:10" ht="18.75" x14ac:dyDescent="0.3">
      <c r="A3" s="58"/>
      <c r="B3" s="58"/>
      <c r="C3" s="58"/>
      <c r="D3" s="58"/>
      <c r="E3" s="58"/>
      <c r="F3" s="58"/>
    </row>
    <row r="4" spans="1:10" ht="19.5" x14ac:dyDescent="0.3">
      <c r="A4" s="196" t="s">
        <v>285</v>
      </c>
      <c r="B4" s="196"/>
      <c r="C4" s="196"/>
      <c r="D4" s="196"/>
      <c r="E4" s="196"/>
      <c r="F4" s="196"/>
      <c r="G4" s="196"/>
      <c r="H4" s="196"/>
      <c r="I4" s="196"/>
      <c r="J4" s="196"/>
    </row>
    <row r="5" spans="1:10" ht="19.5" x14ac:dyDescent="0.3">
      <c r="A5" s="59"/>
      <c r="B5" s="59"/>
      <c r="C5" s="59"/>
      <c r="D5" s="59"/>
      <c r="E5" s="59"/>
      <c r="F5" s="59"/>
      <c r="G5" s="59"/>
      <c r="H5" s="59"/>
      <c r="I5" s="59"/>
      <c r="J5" s="59"/>
    </row>
    <row r="6" spans="1:10" ht="18.75" customHeight="1" x14ac:dyDescent="0.25">
      <c r="A6" s="60" t="s">
        <v>127</v>
      </c>
      <c r="B6" s="197" t="s">
        <v>173</v>
      </c>
      <c r="C6" s="197"/>
      <c r="D6" s="197"/>
      <c r="E6" s="197"/>
      <c r="F6" s="197"/>
      <c r="G6" s="197"/>
      <c r="H6" s="197"/>
      <c r="I6" s="197"/>
      <c r="J6" s="197"/>
    </row>
    <row r="7" spans="1:10" ht="18.75" x14ac:dyDescent="0.3">
      <c r="A7" s="61"/>
      <c r="B7" s="197"/>
      <c r="C7" s="197"/>
      <c r="D7" s="197"/>
      <c r="E7" s="197"/>
      <c r="F7" s="197"/>
      <c r="G7" s="197"/>
      <c r="H7" s="197"/>
      <c r="I7" s="197"/>
      <c r="J7" s="197"/>
    </row>
    <row r="8" spans="1:10" ht="18.75" x14ac:dyDescent="0.3">
      <c r="A8" s="61"/>
      <c r="B8" s="197"/>
      <c r="C8" s="197"/>
      <c r="D8" s="197"/>
      <c r="E8" s="197"/>
      <c r="F8" s="197"/>
      <c r="G8" s="197"/>
      <c r="H8" s="197"/>
      <c r="I8" s="197"/>
      <c r="J8" s="197"/>
    </row>
    <row r="9" spans="1:10" ht="15.75" x14ac:dyDescent="0.25">
      <c r="A9" s="63"/>
      <c r="B9" s="62"/>
      <c r="C9" s="62"/>
      <c r="D9" s="62"/>
      <c r="E9" s="62"/>
      <c r="F9" s="62"/>
      <c r="G9" s="62"/>
      <c r="H9" s="62"/>
      <c r="I9" s="62"/>
      <c r="J9" s="62"/>
    </row>
    <row r="10" spans="1:10" ht="15.75" x14ac:dyDescent="0.25">
      <c r="A10" s="64"/>
      <c r="B10" s="65"/>
      <c r="C10" s="66"/>
      <c r="D10" s="67"/>
      <c r="E10" s="68"/>
      <c r="F10" s="68"/>
      <c r="G10" s="64"/>
      <c r="H10" s="65"/>
      <c r="I10" s="64"/>
      <c r="J10" s="65"/>
    </row>
    <row r="11" spans="1:10" ht="15.75" x14ac:dyDescent="0.25">
      <c r="A11" s="69" t="s">
        <v>128</v>
      </c>
      <c r="B11" s="70"/>
      <c r="C11" s="71"/>
      <c r="D11" s="72"/>
      <c r="E11" s="73"/>
      <c r="F11" s="74"/>
      <c r="G11" s="75" t="s">
        <v>129</v>
      </c>
      <c r="H11" s="70"/>
      <c r="I11" s="76" t="s">
        <v>130</v>
      </c>
      <c r="J11" s="70"/>
    </row>
    <row r="12" spans="1:10" ht="15.75" x14ac:dyDescent="0.25">
      <c r="A12" s="77" t="s">
        <v>131</v>
      </c>
      <c r="B12" s="78"/>
      <c r="C12" s="79" t="s">
        <v>132</v>
      </c>
      <c r="D12" s="76" t="s">
        <v>133</v>
      </c>
      <c r="E12" s="75"/>
      <c r="F12" s="75"/>
      <c r="G12" s="80"/>
      <c r="H12" s="81"/>
      <c r="I12" s="80"/>
      <c r="J12" s="81"/>
    </row>
    <row r="13" spans="1:10" ht="31.5" x14ac:dyDescent="0.25">
      <c r="A13" s="82" t="s">
        <v>134</v>
      </c>
      <c r="B13" s="82" t="s">
        <v>135</v>
      </c>
      <c r="C13" s="83"/>
      <c r="D13" s="84"/>
      <c r="E13" s="85"/>
      <c r="F13" s="86"/>
      <c r="G13" s="82" t="s">
        <v>134</v>
      </c>
      <c r="H13" s="82" t="s">
        <v>135</v>
      </c>
      <c r="I13" s="82" t="s">
        <v>134</v>
      </c>
      <c r="J13" s="82" t="s">
        <v>135</v>
      </c>
    </row>
    <row r="14" spans="1:10" ht="15.75" x14ac:dyDescent="0.25">
      <c r="A14" s="87"/>
      <c r="B14" s="87"/>
      <c r="C14" s="88"/>
      <c r="D14" s="89"/>
      <c r="E14" s="90"/>
      <c r="F14" s="91"/>
      <c r="G14" s="87"/>
      <c r="H14" s="87"/>
      <c r="I14" s="87"/>
      <c r="J14" s="87"/>
    </row>
    <row r="15" spans="1:10" ht="15.75" x14ac:dyDescent="0.25">
      <c r="A15" s="92">
        <v>30</v>
      </c>
      <c r="B15" s="92">
        <v>30</v>
      </c>
      <c r="C15" s="92" t="s">
        <v>136</v>
      </c>
      <c r="D15" s="93"/>
      <c r="E15" s="94" t="s">
        <v>137</v>
      </c>
      <c r="F15" s="93"/>
      <c r="G15" s="95">
        <v>716961.67</v>
      </c>
      <c r="H15" s="96">
        <f>G15</f>
        <v>716961.67</v>
      </c>
      <c r="I15" s="97">
        <v>0.08</v>
      </c>
      <c r="J15" s="97">
        <f>+I15</f>
        <v>0.08</v>
      </c>
    </row>
    <row r="16" spans="1:10" ht="15.75" x14ac:dyDescent="0.25">
      <c r="A16" s="92">
        <v>30</v>
      </c>
      <c r="B16" s="92">
        <f>+B15+A16</f>
        <v>60</v>
      </c>
      <c r="C16" s="92" t="s">
        <v>138</v>
      </c>
      <c r="D16" s="93"/>
      <c r="E16" s="94" t="s">
        <v>137</v>
      </c>
      <c r="F16" s="93"/>
      <c r="G16" s="95">
        <v>716961.67</v>
      </c>
      <c r="H16" s="96">
        <f>+H15+G16</f>
        <v>1433923.34</v>
      </c>
      <c r="I16" s="97">
        <v>0.08</v>
      </c>
      <c r="J16" s="97">
        <f>+J15+I16</f>
        <v>0.16</v>
      </c>
    </row>
    <row r="17" spans="1:10" ht="15.75" x14ac:dyDescent="0.25">
      <c r="A17" s="98">
        <v>30</v>
      </c>
      <c r="B17" s="92">
        <f>+B16+A17</f>
        <v>90</v>
      </c>
      <c r="C17" s="92" t="s">
        <v>139</v>
      </c>
      <c r="D17" s="93"/>
      <c r="E17" s="94" t="s">
        <v>137</v>
      </c>
      <c r="F17" s="93"/>
      <c r="G17" s="95">
        <v>716961.67</v>
      </c>
      <c r="H17" s="96">
        <f>+H16+G17</f>
        <v>2150885.0100000002</v>
      </c>
      <c r="I17" s="97">
        <v>0.08</v>
      </c>
      <c r="J17" s="97">
        <f t="shared" ref="J17:J26" si="0">+J16+I17</f>
        <v>0.24</v>
      </c>
    </row>
    <row r="18" spans="1:10" ht="15.75" x14ac:dyDescent="0.25">
      <c r="A18" s="92">
        <v>30</v>
      </c>
      <c r="B18" s="92">
        <f>+B17+A18</f>
        <v>120</v>
      </c>
      <c r="C18" s="92" t="s">
        <v>140</v>
      </c>
      <c r="D18" s="93"/>
      <c r="E18" s="94" t="s">
        <v>137</v>
      </c>
      <c r="F18" s="93"/>
      <c r="G18" s="95">
        <v>716961.67</v>
      </c>
      <c r="H18" s="96">
        <f t="shared" ref="H18:H26" si="1">+H17+G18</f>
        <v>2867846.68</v>
      </c>
      <c r="I18" s="97">
        <v>0.08</v>
      </c>
      <c r="J18" s="97">
        <f t="shared" si="0"/>
        <v>0.32</v>
      </c>
    </row>
    <row r="19" spans="1:10" ht="15.75" x14ac:dyDescent="0.25">
      <c r="A19" s="92">
        <v>30</v>
      </c>
      <c r="B19" s="92">
        <f t="shared" ref="B19:B26" si="2">+B18+A19</f>
        <v>150</v>
      </c>
      <c r="C19" s="92" t="s">
        <v>141</v>
      </c>
      <c r="D19" s="93"/>
      <c r="E19" s="94" t="s">
        <v>137</v>
      </c>
      <c r="F19" s="93"/>
      <c r="G19" s="95">
        <v>716961.67</v>
      </c>
      <c r="H19" s="96">
        <f t="shared" si="1"/>
        <v>3584808.35</v>
      </c>
      <c r="I19" s="97">
        <v>0.08</v>
      </c>
      <c r="J19" s="97">
        <f t="shared" si="0"/>
        <v>0.4</v>
      </c>
    </row>
    <row r="20" spans="1:10" ht="15.75" x14ac:dyDescent="0.25">
      <c r="A20" s="92">
        <v>30</v>
      </c>
      <c r="B20" s="92">
        <f t="shared" si="2"/>
        <v>180</v>
      </c>
      <c r="C20" s="92" t="s">
        <v>142</v>
      </c>
      <c r="D20" s="93"/>
      <c r="E20" s="94" t="s">
        <v>137</v>
      </c>
      <c r="F20" s="93"/>
      <c r="G20" s="95">
        <v>716961.67</v>
      </c>
      <c r="H20" s="96">
        <f t="shared" si="1"/>
        <v>4301770.0200000005</v>
      </c>
      <c r="I20" s="97">
        <v>0.08</v>
      </c>
      <c r="J20" s="97">
        <f t="shared" si="0"/>
        <v>0.48000000000000004</v>
      </c>
    </row>
    <row r="21" spans="1:10" ht="15.75" x14ac:dyDescent="0.25">
      <c r="A21" s="92">
        <v>30</v>
      </c>
      <c r="B21" s="92">
        <f t="shared" si="2"/>
        <v>210</v>
      </c>
      <c r="C21" s="92" t="s">
        <v>143</v>
      </c>
      <c r="D21" s="93"/>
      <c r="E21" s="94" t="s">
        <v>137</v>
      </c>
      <c r="F21" s="93"/>
      <c r="G21" s="95">
        <v>716961.67</v>
      </c>
      <c r="H21" s="96">
        <f t="shared" si="1"/>
        <v>5018731.6900000004</v>
      </c>
      <c r="I21" s="97">
        <v>0.08</v>
      </c>
      <c r="J21" s="97">
        <f t="shared" si="0"/>
        <v>0.56000000000000005</v>
      </c>
    </row>
    <row r="22" spans="1:10" ht="15.75" x14ac:dyDescent="0.25">
      <c r="A22" s="92">
        <v>30</v>
      </c>
      <c r="B22" s="92">
        <f t="shared" si="2"/>
        <v>240</v>
      </c>
      <c r="C22" s="92" t="s">
        <v>144</v>
      </c>
      <c r="D22" s="93"/>
      <c r="E22" s="94" t="s">
        <v>137</v>
      </c>
      <c r="F22" s="93"/>
      <c r="G22" s="95">
        <v>716961.67</v>
      </c>
      <c r="H22" s="96">
        <f t="shared" si="1"/>
        <v>5735693.3600000003</v>
      </c>
      <c r="I22" s="97">
        <v>0.08</v>
      </c>
      <c r="J22" s="97">
        <f t="shared" si="0"/>
        <v>0.64</v>
      </c>
    </row>
    <row r="23" spans="1:10" ht="15.75" x14ac:dyDescent="0.25">
      <c r="A23" s="92">
        <v>30</v>
      </c>
      <c r="B23" s="92">
        <f t="shared" si="2"/>
        <v>270</v>
      </c>
      <c r="C23" s="92" t="s">
        <v>145</v>
      </c>
      <c r="D23" s="93"/>
      <c r="E23" s="94" t="s">
        <v>137</v>
      </c>
      <c r="F23" s="93"/>
      <c r="G23" s="95">
        <v>716961.67</v>
      </c>
      <c r="H23" s="96">
        <f t="shared" si="1"/>
        <v>6452655.0300000003</v>
      </c>
      <c r="I23" s="97">
        <v>0.08</v>
      </c>
      <c r="J23" s="97">
        <f t="shared" si="0"/>
        <v>0.72</v>
      </c>
    </row>
    <row r="24" spans="1:10" ht="15.75" x14ac:dyDescent="0.25">
      <c r="A24" s="92">
        <v>30</v>
      </c>
      <c r="B24" s="92">
        <f t="shared" si="2"/>
        <v>300</v>
      </c>
      <c r="C24" s="92" t="s">
        <v>146</v>
      </c>
      <c r="D24" s="93"/>
      <c r="E24" s="94" t="s">
        <v>137</v>
      </c>
      <c r="F24" s="93"/>
      <c r="G24" s="95">
        <v>806581.89</v>
      </c>
      <c r="H24" s="96">
        <f t="shared" si="1"/>
        <v>7259236.9199999999</v>
      </c>
      <c r="I24" s="97">
        <v>0.09</v>
      </c>
      <c r="J24" s="97">
        <f t="shared" si="0"/>
        <v>0.80999999999999994</v>
      </c>
    </row>
    <row r="25" spans="1:10" ht="15.75" x14ac:dyDescent="0.25">
      <c r="A25" s="92">
        <v>30</v>
      </c>
      <c r="B25" s="92">
        <f t="shared" si="2"/>
        <v>330</v>
      </c>
      <c r="C25" s="92" t="s">
        <v>147</v>
      </c>
      <c r="D25" s="93"/>
      <c r="E25" s="94" t="s">
        <v>137</v>
      </c>
      <c r="F25" s="93"/>
      <c r="G25" s="95">
        <v>806581.89</v>
      </c>
      <c r="H25" s="96">
        <f t="shared" si="1"/>
        <v>8065818.8099999996</v>
      </c>
      <c r="I25" s="97">
        <v>0.09</v>
      </c>
      <c r="J25" s="97">
        <f t="shared" si="0"/>
        <v>0.89999999999999991</v>
      </c>
    </row>
    <row r="26" spans="1:10" ht="15.75" x14ac:dyDescent="0.25">
      <c r="A26" s="92">
        <v>30</v>
      </c>
      <c r="B26" s="92">
        <f t="shared" si="2"/>
        <v>360</v>
      </c>
      <c r="C26" s="92" t="s">
        <v>148</v>
      </c>
      <c r="D26" s="93"/>
      <c r="E26" s="94" t="s">
        <v>137</v>
      </c>
      <c r="F26" s="93"/>
      <c r="G26" s="95">
        <v>896202.1</v>
      </c>
      <c r="H26" s="96">
        <f t="shared" si="1"/>
        <v>8962020.9100000001</v>
      </c>
      <c r="I26" s="97">
        <v>0.1</v>
      </c>
      <c r="J26" s="97">
        <f t="shared" si="0"/>
        <v>0.99999999999999989</v>
      </c>
    </row>
    <row r="27" spans="1:10" ht="15.75" x14ac:dyDescent="0.25">
      <c r="A27" s="99"/>
      <c r="B27" s="99"/>
      <c r="C27" s="99"/>
      <c r="D27" s="100"/>
      <c r="E27" s="101"/>
      <c r="F27" s="100"/>
      <c r="G27" s="102"/>
      <c r="H27" s="102"/>
      <c r="I27" s="97"/>
      <c r="J27" s="97"/>
    </row>
    <row r="28" spans="1:10" ht="15.75" x14ac:dyDescent="0.25">
      <c r="A28" s="99"/>
      <c r="B28" s="99"/>
      <c r="C28" s="99"/>
      <c r="D28" s="100"/>
      <c r="E28" s="101"/>
      <c r="F28" s="100"/>
      <c r="G28" s="102"/>
      <c r="H28" s="102"/>
      <c r="I28" s="97"/>
      <c r="J28" s="97"/>
    </row>
    <row r="30" spans="1:10" x14ac:dyDescent="0.25">
      <c r="H30" s="103"/>
    </row>
  </sheetData>
  <mergeCells count="4">
    <mergeCell ref="A1:F1"/>
    <mergeCell ref="A2:F2"/>
    <mergeCell ref="A4:J4"/>
    <mergeCell ref="B6:J8"/>
  </mergeCells>
  <pageMargins left="0.51181102362204722" right="0.51181102362204722" top="0.78740157480314965" bottom="0.78740157480314965"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4</vt:i4>
      </vt:variant>
      <vt:variant>
        <vt:lpstr>Intervalos nomeados</vt:lpstr>
      </vt:variant>
      <vt:variant>
        <vt:i4>3</vt:i4>
      </vt:variant>
    </vt:vector>
  </HeadingPairs>
  <TitlesOfParts>
    <vt:vector size="7" baseType="lpstr">
      <vt:lpstr>Anexo III</vt:lpstr>
      <vt:lpstr>Anexo IV</vt:lpstr>
      <vt:lpstr>Anexo V </vt:lpstr>
      <vt:lpstr>Anexo VI</vt:lpstr>
      <vt:lpstr>'Anexo IV'!Area_de_impressao</vt:lpstr>
      <vt:lpstr>'Anexo III'!Titulos_de_impressao</vt:lpstr>
      <vt:lpstr>'Anexo IV'!Titulos_de_impressao</vt:lpstr>
    </vt:vector>
  </TitlesOfParts>
  <Company>Grizli777</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jander</dc:creator>
  <cp:lastModifiedBy>Thais Teles Gomes</cp:lastModifiedBy>
  <cp:lastPrinted>2022-07-26T14:37:18Z</cp:lastPrinted>
  <dcterms:created xsi:type="dcterms:W3CDTF">2013-09-19T12:09:33Z</dcterms:created>
  <dcterms:modified xsi:type="dcterms:W3CDTF">2022-08-04T14:03:24Z</dcterms:modified>
</cp:coreProperties>
</file>